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aspaso\AGMER\Simuladores hasta 2022\"/>
    </mc:Choice>
  </mc:AlternateContent>
  <xr:revisionPtr revIDLastSave="0" documentId="13_ncr:1_{99CAFF79-08E0-4D51-8E34-D3B537B8A22A}" xr6:coauthVersionLast="47" xr6:coauthVersionMax="47" xr10:uidLastSave="{00000000-0000-0000-0000-000000000000}"/>
  <bookViews>
    <workbookView xWindow="-120" yWindow="-120" windowWidth="20730" windowHeight="11760" xr2:uid="{31A7B1E3-6745-4729-B704-DB84D93086D6}"/>
  </bookViews>
  <sheets>
    <sheet name="Recibo" sheetId="1" r:id="rId1"/>
    <sheet name="Cargos" sheetId="2" r:id="rId2"/>
  </sheets>
  <definedNames>
    <definedName name="adicdir2016">Cargos!$F$3:$F$372</definedName>
    <definedName name="adicdir2022">Cargos!$G$3:$G$372</definedName>
    <definedName name="adichsmedia">Recibo!$D$215</definedName>
    <definedName name="adicnina">Cargos!$J$3:$J$372</definedName>
    <definedName name="Aumentojulio26">Recibo!$D$47</definedName>
    <definedName name="Aumentomayo26">Recibo!$D$46</definedName>
    <definedName name="Aumentoseptiembre26">Recibo!$D$48</definedName>
    <definedName name="canthor06med">Recibo!$D$213</definedName>
    <definedName name="canthor06sup">Recibo!$D$351</definedName>
    <definedName name="canthorincmed">Recibo!$D$214</definedName>
    <definedName name="canthorincsup">Recibo!$D$352</definedName>
    <definedName name="canthormed">Recibo!$D$209</definedName>
    <definedName name="canthorsup">Recibo!$D$347</definedName>
    <definedName name="cantkm">Recibo!$D$65</definedName>
    <definedName name="cantkmhm">Recibo!$D$217</definedName>
    <definedName name="cantkmhs">Recibo!$D$354</definedName>
    <definedName name="codigo06cargosdic25">Recibo!$I$18:$I$29</definedName>
    <definedName name="compbas16">Cargos!$D$3:$D$372</definedName>
    <definedName name="compbas2016">Recibo!$E$58</definedName>
    <definedName name="compdir16">Recibo!$G$58</definedName>
    <definedName name="compdir22">Recibo!$H$58</definedName>
    <definedName name="escalaañosantig">Recibo!$D$18:$D$29</definedName>
    <definedName name="escalaporcantig">Recibo!$E$18:$E$29</definedName>
    <definedName name="exten">Recibo!$D$68</definedName>
    <definedName name="indicedic25">Recibo!$D$43</definedName>
    <definedName name="indicejul26">Recibo!$H$43</definedName>
    <definedName name="indicemay26">Recibo!$F$43</definedName>
    <definedName name="Indiceproljordic25">Recibo!$D$44</definedName>
    <definedName name="Indiceproljorjul26">Recibo!$H$44</definedName>
    <definedName name="Indiceproljormay26">Recibo!$F$44</definedName>
    <definedName name="Indiceproljorsep26">Recibo!$J$44</definedName>
    <definedName name="indicesep26">Recibo!$J$43</definedName>
    <definedName name="kmsem">Recibo!$C$156</definedName>
    <definedName name="kmsemhsmed">Recibo!$C$294</definedName>
    <definedName name="kmsemhssup">Recibo!$C$419</definedName>
    <definedName name="nina">Recibo!$D$62</definedName>
    <definedName name="nombrecargo">Cargos!$B$3:$B$372</definedName>
    <definedName name="numcargo">Cargos!$A$3:$A$372</definedName>
    <definedName name="poragmer">Recibo!$C$433</definedName>
    <definedName name="porant">Recibo!$H$18:$H$29</definedName>
    <definedName name="porantigcargo">Recibo!$D$64</definedName>
    <definedName name="porantighormed">Recibo!$D$211</definedName>
    <definedName name="porantighorsup">Recibo!$D$349</definedName>
    <definedName name="poros">Recibo!$C$432</definedName>
    <definedName name="porzonacargo">Recibo!$C$152</definedName>
    <definedName name="porzonahsmed">Recibo!$C$293</definedName>
    <definedName name="punbascar">Recibo!$D$66</definedName>
    <definedName name="punbascargo">Cargos!$C$3:$C$372</definedName>
    <definedName name="punbashormed">Recibo!$D$219</definedName>
    <definedName name="punbashorsup">Recibo!$D$355</definedName>
    <definedName name="punexten">Cargos!$K$3:$K$372</definedName>
    <definedName name="punproljorcargo">Cargos!$I$3:$I$372</definedName>
    <definedName name="puntardifcargo">Cargos!$H$3:$H$372</definedName>
    <definedName name="puntosadicnina">Recibo!$F$58</definedName>
    <definedName name="PUNTOSbasicos">Recibo!$B$58</definedName>
    <definedName name="puntosexten">Recibo!$I$58</definedName>
    <definedName name="puntosproljor">Recibo!$D$67</definedName>
    <definedName name="puntostardif">Recibo!$C$58</definedName>
    <definedName name="totalremdic25">Recibo!$K$177</definedName>
    <definedName name="totalremjul26">Recibo!$E$177</definedName>
    <definedName name="totalremmay26">Recibo!$H$177</definedName>
    <definedName name="totalremsep26">Recibo!#REF!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95" i="1" l="1"/>
  <c r="F54" i="1" l="1"/>
  <c r="F53" i="1"/>
  <c r="F10" i="1" l="1"/>
  <c r="F9" i="1"/>
  <c r="E426" i="1" l="1"/>
  <c r="E371" i="1" s="1"/>
  <c r="E425" i="1"/>
  <c r="E370" i="1" s="1"/>
  <c r="E300" i="1"/>
  <c r="E237" i="1" s="1"/>
  <c r="E301" i="1"/>
  <c r="E238" i="1" s="1"/>
  <c r="D47" i="1"/>
  <c r="F464" i="1" s="1"/>
  <c r="I46" i="1"/>
  <c r="I45" i="1"/>
  <c r="G46" i="1"/>
  <c r="G45" i="1"/>
  <c r="E430" i="1"/>
  <c r="F430" i="1" s="1"/>
  <c r="F375" i="1" s="1"/>
  <c r="E428" i="1"/>
  <c r="E373" i="1" s="1"/>
  <c r="E427" i="1"/>
  <c r="E372" i="1" s="1"/>
  <c r="E423" i="1"/>
  <c r="F419" i="1"/>
  <c r="E407" i="1"/>
  <c r="E405" i="1"/>
  <c r="E403" i="1"/>
  <c r="E402" i="1"/>
  <c r="E401" i="1"/>
  <c r="E400" i="1"/>
  <c r="F399" i="1"/>
  <c r="E399" i="1"/>
  <c r="E398" i="1"/>
  <c r="E397" i="1"/>
  <c r="E392" i="1"/>
  <c r="E391" i="1"/>
  <c r="E389" i="1"/>
  <c r="E388" i="1"/>
  <c r="E386" i="1"/>
  <c r="E385" i="1"/>
  <c r="E382" i="1"/>
  <c r="E369" i="1"/>
  <c r="E305" i="1"/>
  <c r="F305" i="1" s="1"/>
  <c r="F242" i="1" s="1"/>
  <c r="E303" i="1"/>
  <c r="E240" i="1" s="1"/>
  <c r="E302" i="1"/>
  <c r="E239" i="1" s="1"/>
  <c r="E299" i="1"/>
  <c r="E281" i="1"/>
  <c r="E280" i="1"/>
  <c r="E275" i="1"/>
  <c r="E273" i="1"/>
  <c r="E271" i="1"/>
  <c r="E270" i="1"/>
  <c r="E269" i="1"/>
  <c r="E268" i="1"/>
  <c r="F267" i="1"/>
  <c r="E267" i="1"/>
  <c r="E266" i="1"/>
  <c r="E265" i="1"/>
  <c r="E257" i="1"/>
  <c r="E256" i="1"/>
  <c r="E254" i="1"/>
  <c r="E253" i="1"/>
  <c r="E249" i="1"/>
  <c r="E170" i="1"/>
  <c r="F170" i="1" s="1"/>
  <c r="F101" i="1" s="1"/>
  <c r="E168" i="1"/>
  <c r="F168" i="1" s="1"/>
  <c r="F99" i="1" s="1"/>
  <c r="E165" i="1"/>
  <c r="F165" i="1" s="1"/>
  <c r="F96" i="1" s="1"/>
  <c r="E157" i="1"/>
  <c r="E132" i="1"/>
  <c r="E130" i="1"/>
  <c r="E128" i="1"/>
  <c r="E127" i="1"/>
  <c r="E126" i="1"/>
  <c r="E125" i="1"/>
  <c r="F124" i="1"/>
  <c r="E124" i="1"/>
  <c r="E123" i="1"/>
  <c r="F122" i="1"/>
  <c r="E122" i="1"/>
  <c r="E117" i="1"/>
  <c r="E116" i="1"/>
  <c r="E114" i="1"/>
  <c r="E113" i="1"/>
  <c r="E111" i="1"/>
  <c r="E110" i="1"/>
  <c r="F109" i="1"/>
  <c r="E109" i="1"/>
  <c r="F108" i="1"/>
  <c r="E107" i="1"/>
  <c r="E104" i="1"/>
  <c r="E100" i="1"/>
  <c r="F75" i="1"/>
  <c r="K428" i="1"/>
  <c r="K427" i="1"/>
  <c r="H428" i="1"/>
  <c r="C428" i="1" s="1"/>
  <c r="H427" i="1"/>
  <c r="H372" i="1" s="1"/>
  <c r="D239" i="1"/>
  <c r="K303" i="1"/>
  <c r="K302" i="1"/>
  <c r="K239" i="1" s="1"/>
  <c r="H303" i="1"/>
  <c r="C303" i="1" s="1"/>
  <c r="H302" i="1"/>
  <c r="H239" i="1" s="1"/>
  <c r="C162" i="1"/>
  <c r="C161" i="1"/>
  <c r="K295" i="1"/>
  <c r="I54" i="1"/>
  <c r="I53" i="1"/>
  <c r="G54" i="1" s="1"/>
  <c r="D48" i="1" l="1"/>
  <c r="E291" i="1"/>
  <c r="H162" i="1"/>
  <c r="H93" i="1" s="1"/>
  <c r="H161" i="1"/>
  <c r="H92" i="1" s="1"/>
  <c r="E418" i="1"/>
  <c r="F356" i="1"/>
  <c r="F139" i="1"/>
  <c r="F285" i="1"/>
  <c r="F410" i="1"/>
  <c r="E295" i="1"/>
  <c r="F1" i="1"/>
  <c r="F221" i="1"/>
  <c r="F339" i="1"/>
  <c r="F70" i="1"/>
  <c r="F278" i="1"/>
  <c r="F372" i="1"/>
  <c r="F239" i="1"/>
  <c r="C427" i="1"/>
  <c r="C372" i="1" s="1"/>
  <c r="E161" i="1"/>
  <c r="E92" i="1" s="1"/>
  <c r="E162" i="1"/>
  <c r="E93" i="1" s="1"/>
  <c r="C302" i="1"/>
  <c r="C239" i="1" s="1"/>
  <c r="J156" i="1"/>
  <c r="J150" i="1"/>
  <c r="G150" i="1" s="1"/>
  <c r="J152" i="1"/>
  <c r="D46" i="1"/>
  <c r="C169" i="1"/>
  <c r="H100" i="1"/>
  <c r="C434" i="1"/>
  <c r="C433" i="1"/>
  <c r="N430" i="1"/>
  <c r="O430" i="1" s="1"/>
  <c r="O375" i="1" s="1"/>
  <c r="K430" i="1"/>
  <c r="L430" i="1" s="1"/>
  <c r="L375" i="1" s="1"/>
  <c r="H430" i="1"/>
  <c r="I430" i="1" s="1"/>
  <c r="I375" i="1" s="1"/>
  <c r="C373" i="1"/>
  <c r="H373" i="1"/>
  <c r="N426" i="1"/>
  <c r="N371" i="1" s="1"/>
  <c r="K426" i="1"/>
  <c r="H426" i="1"/>
  <c r="N425" i="1"/>
  <c r="N370" i="1" s="1"/>
  <c r="K425" i="1"/>
  <c r="H425" i="1"/>
  <c r="N423" i="1"/>
  <c r="K423" i="1"/>
  <c r="H423" i="1"/>
  <c r="C421" i="1"/>
  <c r="O419" i="1"/>
  <c r="L419" i="1"/>
  <c r="I419" i="1"/>
  <c r="C419" i="1"/>
  <c r="N418" i="1"/>
  <c r="N363" i="1" s="1"/>
  <c r="K418" i="1"/>
  <c r="K363" i="1" s="1"/>
  <c r="C413" i="1"/>
  <c r="C358" i="1" s="1"/>
  <c r="N407" i="1"/>
  <c r="K407" i="1"/>
  <c r="H407" i="1"/>
  <c r="N405" i="1"/>
  <c r="K405" i="1"/>
  <c r="H405" i="1"/>
  <c r="N403" i="1"/>
  <c r="K403" i="1"/>
  <c r="H403" i="1"/>
  <c r="N402" i="1"/>
  <c r="K402" i="1"/>
  <c r="H402" i="1"/>
  <c r="N401" i="1"/>
  <c r="K401" i="1"/>
  <c r="H401" i="1"/>
  <c r="N400" i="1"/>
  <c r="K400" i="1"/>
  <c r="H400" i="1"/>
  <c r="O399" i="1"/>
  <c r="N399" i="1"/>
  <c r="L399" i="1"/>
  <c r="K399" i="1"/>
  <c r="I399" i="1"/>
  <c r="H399" i="1"/>
  <c r="N398" i="1"/>
  <c r="K398" i="1"/>
  <c r="H398" i="1"/>
  <c r="N397" i="1"/>
  <c r="K397" i="1"/>
  <c r="H397" i="1"/>
  <c r="O392" i="1"/>
  <c r="N392" i="1"/>
  <c r="K392" i="1"/>
  <c r="H392" i="1"/>
  <c r="O391" i="1"/>
  <c r="N391" i="1"/>
  <c r="K391" i="1"/>
  <c r="H391" i="1"/>
  <c r="O389" i="1"/>
  <c r="N389" i="1"/>
  <c r="K389" i="1"/>
  <c r="H389" i="1"/>
  <c r="O388" i="1"/>
  <c r="N388" i="1"/>
  <c r="K388" i="1"/>
  <c r="H388" i="1"/>
  <c r="O386" i="1"/>
  <c r="N386" i="1"/>
  <c r="K386" i="1"/>
  <c r="H386" i="1"/>
  <c r="O385" i="1"/>
  <c r="N385" i="1"/>
  <c r="K385" i="1"/>
  <c r="H385" i="1"/>
  <c r="N382" i="1"/>
  <c r="K382" i="1"/>
  <c r="H382" i="1"/>
  <c r="N369" i="1"/>
  <c r="K369" i="1"/>
  <c r="H369" i="1"/>
  <c r="A369" i="1"/>
  <c r="C365" i="1"/>
  <c r="C420" i="1" s="1"/>
  <c r="C364" i="1"/>
  <c r="D355" i="1"/>
  <c r="D349" i="1"/>
  <c r="I343" i="1"/>
  <c r="O339" i="1"/>
  <c r="C309" i="1"/>
  <c r="C308" i="1"/>
  <c r="N305" i="1"/>
  <c r="O305" i="1" s="1"/>
  <c r="O242" i="1" s="1"/>
  <c r="K305" i="1"/>
  <c r="L305" i="1" s="1"/>
  <c r="L242" i="1" s="1"/>
  <c r="H305" i="1"/>
  <c r="I305" i="1" s="1"/>
  <c r="I242" i="1" s="1"/>
  <c r="C240" i="1"/>
  <c r="H240" i="1"/>
  <c r="N301" i="1"/>
  <c r="N238" i="1" s="1"/>
  <c r="K301" i="1"/>
  <c r="C301" i="1" s="1"/>
  <c r="C238" i="1" s="1"/>
  <c r="H301" i="1"/>
  <c r="H238" i="1" s="1"/>
  <c r="N300" i="1"/>
  <c r="N237" i="1" s="1"/>
  <c r="K300" i="1"/>
  <c r="C300" i="1" s="1"/>
  <c r="C237" i="1" s="1"/>
  <c r="H300" i="1"/>
  <c r="H237" i="1" s="1"/>
  <c r="N299" i="1"/>
  <c r="K299" i="1"/>
  <c r="H299" i="1"/>
  <c r="C297" i="1"/>
  <c r="N231" i="1"/>
  <c r="K231" i="1"/>
  <c r="C294" i="1"/>
  <c r="C293" i="1"/>
  <c r="N291" i="1"/>
  <c r="N227" i="1" s="1"/>
  <c r="K291" i="1"/>
  <c r="K227" i="1" s="1"/>
  <c r="C287" i="1"/>
  <c r="O285" i="1"/>
  <c r="D283" i="1"/>
  <c r="N281" i="1"/>
  <c r="K281" i="1"/>
  <c r="H281" i="1"/>
  <c r="N280" i="1"/>
  <c r="K280" i="1"/>
  <c r="H280" i="1"/>
  <c r="O278" i="1"/>
  <c r="N275" i="1"/>
  <c r="K275" i="1"/>
  <c r="H275" i="1"/>
  <c r="N273" i="1"/>
  <c r="K273" i="1"/>
  <c r="H273" i="1"/>
  <c r="N271" i="1"/>
  <c r="K271" i="1"/>
  <c r="H271" i="1"/>
  <c r="N270" i="1"/>
  <c r="K270" i="1"/>
  <c r="H270" i="1"/>
  <c r="N269" i="1"/>
  <c r="K269" i="1"/>
  <c r="H269" i="1"/>
  <c r="N268" i="1"/>
  <c r="K268" i="1"/>
  <c r="H268" i="1"/>
  <c r="O267" i="1"/>
  <c r="N267" i="1"/>
  <c r="L267" i="1"/>
  <c r="K267" i="1"/>
  <c r="I267" i="1"/>
  <c r="H267" i="1"/>
  <c r="N266" i="1"/>
  <c r="K266" i="1"/>
  <c r="H266" i="1"/>
  <c r="N265" i="1"/>
  <c r="K265" i="1"/>
  <c r="H265" i="1"/>
  <c r="O260" i="1"/>
  <c r="O259" i="1"/>
  <c r="O257" i="1"/>
  <c r="N257" i="1"/>
  <c r="K257" i="1"/>
  <c r="H257" i="1"/>
  <c r="O256" i="1"/>
  <c r="N256" i="1"/>
  <c r="K256" i="1"/>
  <c r="H256" i="1"/>
  <c r="O254" i="1"/>
  <c r="N254" i="1"/>
  <c r="K254" i="1"/>
  <c r="H254" i="1"/>
  <c r="O253" i="1"/>
  <c r="N253" i="1"/>
  <c r="K253" i="1"/>
  <c r="H253" i="1"/>
  <c r="N249" i="1"/>
  <c r="K249" i="1"/>
  <c r="H249" i="1"/>
  <c r="D240" i="1"/>
  <c r="C232" i="1"/>
  <c r="C296" i="1" s="1"/>
  <c r="C227" i="1"/>
  <c r="C223" i="1"/>
  <c r="D219" i="1"/>
  <c r="D211" i="1"/>
  <c r="I205" i="1"/>
  <c r="N170" i="1"/>
  <c r="O170" i="1" s="1"/>
  <c r="O101" i="1" s="1"/>
  <c r="K170" i="1"/>
  <c r="L170" i="1" s="1"/>
  <c r="L101" i="1" s="1"/>
  <c r="H170" i="1"/>
  <c r="I170" i="1" s="1"/>
  <c r="I101" i="1" s="1"/>
  <c r="N168" i="1"/>
  <c r="O168" i="1" s="1"/>
  <c r="O99" i="1" s="1"/>
  <c r="K168" i="1"/>
  <c r="L168" i="1" s="1"/>
  <c r="L99" i="1" s="1"/>
  <c r="H168" i="1"/>
  <c r="I168" i="1" s="1"/>
  <c r="I99" i="1" s="1"/>
  <c r="N165" i="1"/>
  <c r="O165" i="1" s="1"/>
  <c r="O96" i="1" s="1"/>
  <c r="K165" i="1"/>
  <c r="L165" i="1" s="1"/>
  <c r="L96" i="1" s="1"/>
  <c r="H165" i="1"/>
  <c r="I165" i="1" s="1"/>
  <c r="I96" i="1" s="1"/>
  <c r="C163" i="1"/>
  <c r="C160" i="1"/>
  <c r="C159" i="1"/>
  <c r="N157" i="1"/>
  <c r="K157" i="1"/>
  <c r="H157" i="1"/>
  <c r="C156" i="1"/>
  <c r="C155" i="1"/>
  <c r="C154" i="1"/>
  <c r="C152" i="1"/>
  <c r="N132" i="1"/>
  <c r="K132" i="1"/>
  <c r="H132" i="1"/>
  <c r="N130" i="1"/>
  <c r="K130" i="1"/>
  <c r="H130" i="1"/>
  <c r="N128" i="1"/>
  <c r="K128" i="1"/>
  <c r="H128" i="1"/>
  <c r="N127" i="1"/>
  <c r="K127" i="1"/>
  <c r="H127" i="1"/>
  <c r="N126" i="1"/>
  <c r="K126" i="1"/>
  <c r="H126" i="1"/>
  <c r="N125" i="1"/>
  <c r="K125" i="1"/>
  <c r="H125" i="1"/>
  <c r="O124" i="1"/>
  <c r="N124" i="1"/>
  <c r="L124" i="1"/>
  <c r="K124" i="1"/>
  <c r="I124" i="1"/>
  <c r="H124" i="1"/>
  <c r="N123" i="1"/>
  <c r="K123" i="1"/>
  <c r="H123" i="1"/>
  <c r="O122" i="1"/>
  <c r="N122" i="1"/>
  <c r="L122" i="1"/>
  <c r="K122" i="1"/>
  <c r="I122" i="1"/>
  <c r="H122" i="1"/>
  <c r="O120" i="1"/>
  <c r="O119" i="1"/>
  <c r="O117" i="1"/>
  <c r="N117" i="1"/>
  <c r="K117" i="1"/>
  <c r="H117" i="1"/>
  <c r="O116" i="1"/>
  <c r="N116" i="1"/>
  <c r="K116" i="1"/>
  <c r="H116" i="1"/>
  <c r="O114" i="1"/>
  <c r="N114" i="1"/>
  <c r="K114" i="1"/>
  <c r="H114" i="1"/>
  <c r="O113" i="1"/>
  <c r="N113" i="1"/>
  <c r="K113" i="1"/>
  <c r="H113" i="1"/>
  <c r="O111" i="1"/>
  <c r="N111" i="1"/>
  <c r="K111" i="1"/>
  <c r="H111" i="1"/>
  <c r="O110" i="1"/>
  <c r="N110" i="1"/>
  <c r="K110" i="1"/>
  <c r="H110" i="1"/>
  <c r="O109" i="1"/>
  <c r="N109" i="1"/>
  <c r="L109" i="1"/>
  <c r="K109" i="1"/>
  <c r="I109" i="1"/>
  <c r="H109" i="1"/>
  <c r="O108" i="1"/>
  <c r="L108" i="1"/>
  <c r="I108" i="1"/>
  <c r="N107" i="1"/>
  <c r="K107" i="1"/>
  <c r="H107" i="1"/>
  <c r="N104" i="1"/>
  <c r="K104" i="1"/>
  <c r="H104" i="1"/>
  <c r="P87" i="1"/>
  <c r="M87" i="1"/>
  <c r="C87" i="1"/>
  <c r="P83" i="1"/>
  <c r="M83" i="1"/>
  <c r="P81" i="1"/>
  <c r="M81" i="1"/>
  <c r="O75" i="1"/>
  <c r="L75" i="1"/>
  <c r="I75" i="1"/>
  <c r="D64" i="1"/>
  <c r="H59" i="1"/>
  <c r="C59" i="1"/>
  <c r="I59" i="1" s="1"/>
  <c r="I58" i="1"/>
  <c r="H58" i="1"/>
  <c r="G58" i="1"/>
  <c r="F58" i="1"/>
  <c r="E58" i="1"/>
  <c r="D58" i="1"/>
  <c r="D67" i="1" s="1"/>
  <c r="C58" i="1"/>
  <c r="B58" i="1"/>
  <c r="D66" i="1" s="1"/>
  <c r="O54" i="1"/>
  <c r="L54" i="1"/>
  <c r="O53" i="1"/>
  <c r="L53" i="1"/>
  <c r="Q49" i="1"/>
  <c r="P49" i="1"/>
  <c r="O49" i="1"/>
  <c r="N49" i="1"/>
  <c r="M49" i="1"/>
  <c r="D41" i="1"/>
  <c r="C41" i="1"/>
  <c r="D40" i="1"/>
  <c r="C40" i="1"/>
  <c r="D34" i="1"/>
  <c r="K12" i="1"/>
  <c r="E372" i="2"/>
  <c r="E371" i="2"/>
  <c r="E370" i="2"/>
  <c r="E369" i="2"/>
  <c r="E368" i="2"/>
  <c r="E365" i="2"/>
  <c r="E364" i="2"/>
  <c r="E363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5" i="2"/>
  <c r="E344" i="2"/>
  <c r="E343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156" i="1" l="1"/>
  <c r="E87" i="1" s="1"/>
  <c r="H156" i="1"/>
  <c r="H87" i="1" s="1"/>
  <c r="E420" i="1"/>
  <c r="E365" i="1" s="1"/>
  <c r="E296" i="1"/>
  <c r="E232" i="1" s="1"/>
  <c r="E419" i="1"/>
  <c r="E364" i="1" s="1"/>
  <c r="H419" i="1"/>
  <c r="H364" i="1" s="1"/>
  <c r="E413" i="1"/>
  <c r="H294" i="1"/>
  <c r="H230" i="1" s="1"/>
  <c r="E294" i="1"/>
  <c r="E230" i="1" s="1"/>
  <c r="E287" i="1"/>
  <c r="E289" i="1"/>
  <c r="E415" i="1"/>
  <c r="E145" i="1"/>
  <c r="E76" i="1" s="1"/>
  <c r="H151" i="1"/>
  <c r="H82" i="1" s="1"/>
  <c r="E151" i="1"/>
  <c r="E82" i="1" s="1"/>
  <c r="E159" i="1"/>
  <c r="E90" i="1" s="1"/>
  <c r="E154" i="1"/>
  <c r="E85" i="1" s="1"/>
  <c r="E160" i="1"/>
  <c r="E91" i="1" s="1"/>
  <c r="E150" i="1"/>
  <c r="E81" i="1" s="1"/>
  <c r="E144" i="1"/>
  <c r="E75" i="1" s="1"/>
  <c r="E141" i="1"/>
  <c r="E142" i="1"/>
  <c r="E73" i="1" s="1"/>
  <c r="E143" i="1"/>
  <c r="E74" i="1" s="1"/>
  <c r="E363" i="1"/>
  <c r="E421" i="1"/>
  <c r="E366" i="1" s="1"/>
  <c r="N419" i="1"/>
  <c r="N364" i="1" s="1"/>
  <c r="H413" i="1"/>
  <c r="K294" i="1"/>
  <c r="K230" i="1" s="1"/>
  <c r="H295" i="1"/>
  <c r="H231" i="1" s="1"/>
  <c r="E227" i="1"/>
  <c r="E231" i="1"/>
  <c r="E297" i="1"/>
  <c r="E233" i="1" s="1"/>
  <c r="H287" i="1"/>
  <c r="J81" i="1"/>
  <c r="G81" i="1"/>
  <c r="H142" i="1"/>
  <c r="H73" i="1" s="1"/>
  <c r="H143" i="1"/>
  <c r="H74" i="1" s="1"/>
  <c r="K156" i="1"/>
  <c r="K87" i="1" s="1"/>
  <c r="H371" i="1"/>
  <c r="C426" i="1"/>
  <c r="C371" i="1" s="1"/>
  <c r="H145" i="1"/>
  <c r="H76" i="1" s="1"/>
  <c r="H370" i="1"/>
  <c r="C425" i="1"/>
  <c r="C370" i="1" s="1"/>
  <c r="J83" i="1"/>
  <c r="G152" i="1"/>
  <c r="H144" i="1"/>
  <c r="H75" i="1" s="1"/>
  <c r="E155" i="1"/>
  <c r="E86" i="1" s="1"/>
  <c r="J87" i="1"/>
  <c r="G156" i="1"/>
  <c r="I239" i="1"/>
  <c r="H289" i="1"/>
  <c r="H296" i="1"/>
  <c r="H232" i="1" s="1"/>
  <c r="H420" i="1"/>
  <c r="H365" i="1" s="1"/>
  <c r="H141" i="1"/>
  <c r="H160" i="1"/>
  <c r="H91" i="1" s="1"/>
  <c r="H159" i="1"/>
  <c r="H90" i="1" s="1"/>
  <c r="N421" i="1"/>
  <c r="N366" i="1" s="1"/>
  <c r="H418" i="1"/>
  <c r="H363" i="1" s="1"/>
  <c r="H291" i="1"/>
  <c r="H227" i="1" s="1"/>
  <c r="H415" i="1"/>
  <c r="K240" i="1"/>
  <c r="H154" i="1"/>
  <c r="H85" i="1" s="1"/>
  <c r="H150" i="1"/>
  <c r="H81" i="1" s="1"/>
  <c r="K237" i="1"/>
  <c r="K373" i="1"/>
  <c r="N294" i="1"/>
  <c r="N230" i="1" s="1"/>
  <c r="K238" i="1"/>
  <c r="C230" i="1"/>
  <c r="K419" i="1"/>
  <c r="K364" i="1" s="1"/>
  <c r="M54" i="1"/>
  <c r="J54" i="1"/>
  <c r="S19" i="1"/>
  <c r="T19" i="1" s="1"/>
  <c r="U19" i="1" s="1"/>
  <c r="V19" i="1" s="1"/>
  <c r="W19" i="1" s="1"/>
  <c r="S26" i="1"/>
  <c r="T26" i="1" s="1"/>
  <c r="U26" i="1" s="1"/>
  <c r="V26" i="1" s="1"/>
  <c r="W26" i="1" s="1"/>
  <c r="R21" i="1"/>
  <c r="S28" i="1"/>
  <c r="T28" i="1" s="1"/>
  <c r="U28" i="1" s="1"/>
  <c r="V28" i="1" s="1"/>
  <c r="W28" i="1" s="1"/>
  <c r="R19" i="1"/>
  <c r="R23" i="1"/>
  <c r="R18" i="1"/>
  <c r="R20" i="1"/>
  <c r="S21" i="1"/>
  <c r="T21" i="1" s="1"/>
  <c r="U21" i="1" s="1"/>
  <c r="V21" i="1" s="1"/>
  <c r="W21" i="1" s="1"/>
  <c r="S23" i="1"/>
  <c r="T23" i="1" s="1"/>
  <c r="U23" i="1" s="1"/>
  <c r="V23" i="1" s="1"/>
  <c r="W23" i="1" s="1"/>
  <c r="I23" i="1" s="1"/>
  <c r="R25" i="1"/>
  <c r="R27" i="1"/>
  <c r="S18" i="1"/>
  <c r="T18" i="1" s="1"/>
  <c r="U18" i="1" s="1"/>
  <c r="V18" i="1" s="1"/>
  <c r="W18" i="1" s="1"/>
  <c r="S20" i="1"/>
  <c r="T20" i="1" s="1"/>
  <c r="U20" i="1" s="1"/>
  <c r="V20" i="1" s="1"/>
  <c r="W20" i="1" s="1"/>
  <c r="R22" i="1"/>
  <c r="R24" i="1"/>
  <c r="S25" i="1"/>
  <c r="T25" i="1" s="1"/>
  <c r="U25" i="1" s="1"/>
  <c r="V25" i="1" s="1"/>
  <c r="W25" i="1" s="1"/>
  <c r="S27" i="1"/>
  <c r="T27" i="1" s="1"/>
  <c r="U27" i="1" s="1"/>
  <c r="V27" i="1" s="1"/>
  <c r="W27" i="1" s="1"/>
  <c r="R29" i="1"/>
  <c r="S22" i="1"/>
  <c r="T22" i="1" s="1"/>
  <c r="U22" i="1" s="1"/>
  <c r="V22" i="1" s="1"/>
  <c r="W22" i="1" s="1"/>
  <c r="S24" i="1"/>
  <c r="T24" i="1" s="1"/>
  <c r="U24" i="1" s="1"/>
  <c r="V24" i="1" s="1"/>
  <c r="W24" i="1" s="1"/>
  <c r="R26" i="1"/>
  <c r="R28" i="1"/>
  <c r="S29" i="1"/>
  <c r="T29" i="1" s="1"/>
  <c r="U29" i="1" s="1"/>
  <c r="V29" i="1" s="1"/>
  <c r="W29" i="1" s="1"/>
  <c r="P54" i="1"/>
  <c r="C414" i="1"/>
  <c r="N141" i="1"/>
  <c r="K141" i="1"/>
  <c r="K154" i="1"/>
  <c r="K85" i="1" s="1"/>
  <c r="K150" i="1"/>
  <c r="K81" i="1" s="1"/>
  <c r="N160" i="1"/>
  <c r="N91" i="1" s="1"/>
  <c r="N159" i="1"/>
  <c r="N90" i="1" s="1"/>
  <c r="K160" i="1"/>
  <c r="K91" i="1" s="1"/>
  <c r="K159" i="1"/>
  <c r="K90" i="1" s="1"/>
  <c r="N154" i="1"/>
  <c r="N85" i="1" s="1"/>
  <c r="N150" i="1"/>
  <c r="N81" i="1" s="1"/>
  <c r="N145" i="1"/>
  <c r="N76" i="1" s="1"/>
  <c r="K145" i="1"/>
  <c r="K76" i="1" s="1"/>
  <c r="K151" i="1"/>
  <c r="K82" i="1" s="1"/>
  <c r="N151" i="1"/>
  <c r="N82" i="1" s="1"/>
  <c r="N296" i="1"/>
  <c r="N232" i="1" s="1"/>
  <c r="K296" i="1"/>
  <c r="K232" i="1" s="1"/>
  <c r="N144" i="1"/>
  <c r="N75" i="1" s="1"/>
  <c r="K144" i="1"/>
  <c r="K75" i="1" s="1"/>
  <c r="K155" i="1"/>
  <c r="K86" i="1" s="1"/>
  <c r="H155" i="1"/>
  <c r="H86" i="1" s="1"/>
  <c r="C147" i="1"/>
  <c r="C78" i="1" s="1"/>
  <c r="N155" i="1"/>
  <c r="N86" i="1" s="1"/>
  <c r="K142" i="1"/>
  <c r="K73" i="1" s="1"/>
  <c r="N142" i="1"/>
  <c r="N73" i="1" s="1"/>
  <c r="N143" i="1"/>
  <c r="N74" i="1" s="1"/>
  <c r="K143" i="1"/>
  <c r="K74" i="1" s="1"/>
  <c r="K59" i="1"/>
  <c r="N156" i="1"/>
  <c r="N87" i="1" s="1"/>
  <c r="C288" i="1"/>
  <c r="K371" i="1"/>
  <c r="N287" i="1"/>
  <c r="K287" i="1"/>
  <c r="K370" i="1"/>
  <c r="N297" i="1"/>
  <c r="N233" i="1" s="1"/>
  <c r="N289" i="1"/>
  <c r="K297" i="1"/>
  <c r="K233" i="1" s="1"/>
  <c r="K289" i="1"/>
  <c r="H297" i="1"/>
  <c r="H233" i="1" s="1"/>
  <c r="C224" i="1"/>
  <c r="N420" i="1"/>
  <c r="N365" i="1" s="1"/>
  <c r="K420" i="1"/>
  <c r="K365" i="1" s="1"/>
  <c r="J205" i="1"/>
  <c r="N413" i="1"/>
  <c r="K413" i="1"/>
  <c r="C359" i="1"/>
  <c r="H421" i="1"/>
  <c r="H366" i="1" s="1"/>
  <c r="J343" i="1"/>
  <c r="K415" i="1"/>
  <c r="K421" i="1"/>
  <c r="K366" i="1" s="1"/>
  <c r="N415" i="1"/>
  <c r="E414" i="1" l="1"/>
  <c r="E417" i="1" s="1"/>
  <c r="E362" i="1" s="1"/>
  <c r="E358" i="1"/>
  <c r="E360" i="1"/>
  <c r="E416" i="1"/>
  <c r="E361" i="1" s="1"/>
  <c r="E290" i="1"/>
  <c r="E226" i="1" s="1"/>
  <c r="E225" i="1"/>
  <c r="E223" i="1"/>
  <c r="E293" i="1"/>
  <c r="E229" i="1" s="1"/>
  <c r="E288" i="1"/>
  <c r="E224" i="1" s="1"/>
  <c r="G87" i="1"/>
  <c r="I372" i="1"/>
  <c r="G83" i="1"/>
  <c r="E152" i="1"/>
  <c r="E83" i="1" s="1"/>
  <c r="E147" i="1"/>
  <c r="E78" i="1" s="1"/>
  <c r="E72" i="1"/>
  <c r="I19" i="1"/>
  <c r="I28" i="1"/>
  <c r="I21" i="1"/>
  <c r="I24" i="1"/>
  <c r="I25" i="1"/>
  <c r="I18" i="1"/>
  <c r="I29" i="1"/>
  <c r="I27" i="1"/>
  <c r="I20" i="1"/>
  <c r="I26" i="1"/>
  <c r="I22" i="1"/>
  <c r="H358" i="1"/>
  <c r="H414" i="1"/>
  <c r="H225" i="1"/>
  <c r="H290" i="1"/>
  <c r="H226" i="1" s="1"/>
  <c r="N290" i="1"/>
  <c r="N226" i="1" s="1"/>
  <c r="N225" i="1"/>
  <c r="H293" i="1"/>
  <c r="H229" i="1" s="1"/>
  <c r="H288" i="1"/>
  <c r="H224" i="1" s="1"/>
  <c r="H223" i="1"/>
  <c r="K293" i="1"/>
  <c r="K229" i="1" s="1"/>
  <c r="K288" i="1"/>
  <c r="K224" i="1" s="1"/>
  <c r="K223" i="1"/>
  <c r="H147" i="1"/>
  <c r="H78" i="1" s="1"/>
  <c r="H152" i="1"/>
  <c r="H83" i="1" s="1"/>
  <c r="H72" i="1"/>
  <c r="H360" i="1"/>
  <c r="H416" i="1"/>
  <c r="H361" i="1" s="1"/>
  <c r="N288" i="1"/>
  <c r="N224" i="1" s="1"/>
  <c r="N223" i="1"/>
  <c r="N293" i="1"/>
  <c r="N229" i="1" s="1"/>
  <c r="K147" i="1"/>
  <c r="K78" i="1" s="1"/>
  <c r="K152" i="1"/>
  <c r="K83" i="1" s="1"/>
  <c r="K72" i="1"/>
  <c r="K358" i="1"/>
  <c r="K414" i="1"/>
  <c r="K417" i="1" s="1"/>
  <c r="K362" i="1" s="1"/>
  <c r="K360" i="1"/>
  <c r="K416" i="1"/>
  <c r="K361" i="1" s="1"/>
  <c r="C415" i="1"/>
  <c r="C360" i="1" s="1"/>
  <c r="N414" i="1"/>
  <c r="N417" i="1" s="1"/>
  <c r="N362" i="1" s="1"/>
  <c r="N358" i="1"/>
  <c r="K290" i="1"/>
  <c r="K226" i="1" s="1"/>
  <c r="K225" i="1"/>
  <c r="N416" i="1"/>
  <c r="N361" i="1" s="1"/>
  <c r="N360" i="1"/>
  <c r="C289" i="1"/>
  <c r="C225" i="1" s="1"/>
  <c r="N152" i="1"/>
  <c r="N83" i="1" s="1"/>
  <c r="N147" i="1"/>
  <c r="N78" i="1" s="1"/>
  <c r="N72" i="1"/>
  <c r="E146" i="1" l="1"/>
  <c r="E422" i="1"/>
  <c r="F434" i="1"/>
  <c r="F379" i="1" s="1"/>
  <c r="E359" i="1"/>
  <c r="F433" i="1"/>
  <c r="F378" i="1" s="1"/>
  <c r="F432" i="1"/>
  <c r="F377" i="1" s="1"/>
  <c r="F431" i="1"/>
  <c r="F452" i="1"/>
  <c r="F456" i="1" s="1"/>
  <c r="F402" i="1" s="1"/>
  <c r="E292" i="1"/>
  <c r="E228" i="1" s="1"/>
  <c r="N146" i="1"/>
  <c r="N77" i="1" s="1"/>
  <c r="H146" i="1"/>
  <c r="H77" i="1" s="1"/>
  <c r="K146" i="1"/>
  <c r="N292" i="1"/>
  <c r="O452" i="1"/>
  <c r="O457" i="1" s="1"/>
  <c r="O403" i="1" s="1"/>
  <c r="N422" i="1"/>
  <c r="O433" i="1"/>
  <c r="O378" i="1" s="1"/>
  <c r="K359" i="1"/>
  <c r="L434" i="1"/>
  <c r="L379" i="1" s="1"/>
  <c r="L431" i="1"/>
  <c r="H359" i="1"/>
  <c r="O431" i="1"/>
  <c r="L432" i="1"/>
  <c r="L377" i="1" s="1"/>
  <c r="L452" i="1"/>
  <c r="H292" i="1"/>
  <c r="I308" i="1" s="1"/>
  <c r="I245" i="1" s="1"/>
  <c r="O434" i="1"/>
  <c r="O379" i="1" s="1"/>
  <c r="N359" i="1"/>
  <c r="K422" i="1"/>
  <c r="L433" i="1"/>
  <c r="L378" i="1" s="1"/>
  <c r="K292" i="1"/>
  <c r="K298" i="1" s="1"/>
  <c r="H417" i="1"/>
  <c r="H362" i="1" s="1"/>
  <c r="O432" i="1"/>
  <c r="O377" i="1" s="1"/>
  <c r="N228" i="1" l="1"/>
  <c r="O306" i="1"/>
  <c r="F309" i="1"/>
  <c r="F246" i="1" s="1"/>
  <c r="F307" i="1"/>
  <c r="F244" i="1" s="1"/>
  <c r="F306" i="1"/>
  <c r="F243" i="1" s="1"/>
  <c r="F327" i="1"/>
  <c r="F331" i="1" s="1"/>
  <c r="F270" i="1" s="1"/>
  <c r="E298" i="1"/>
  <c r="E235" i="1" s="1"/>
  <c r="F454" i="1"/>
  <c r="F400" i="1" s="1"/>
  <c r="F398" i="1"/>
  <c r="F308" i="1"/>
  <c r="F245" i="1" s="1"/>
  <c r="F435" i="1"/>
  <c r="F380" i="1" s="1"/>
  <c r="F376" i="1"/>
  <c r="F457" i="1"/>
  <c r="F403" i="1" s="1"/>
  <c r="E367" i="1"/>
  <c r="E429" i="1"/>
  <c r="N177" i="1"/>
  <c r="N108" i="1" s="1"/>
  <c r="N148" i="1"/>
  <c r="N79" i="1" s="1"/>
  <c r="E148" i="1"/>
  <c r="E79" i="1" s="1"/>
  <c r="E77" i="1"/>
  <c r="E177" i="1"/>
  <c r="H177" i="1"/>
  <c r="J151" i="1" s="1"/>
  <c r="O307" i="1"/>
  <c r="O244" i="1" s="1"/>
  <c r="O309" i="1"/>
  <c r="O246" i="1" s="1"/>
  <c r="N298" i="1"/>
  <c r="N235" i="1" s="1"/>
  <c r="H148" i="1"/>
  <c r="H79" i="1" s="1"/>
  <c r="O308" i="1"/>
  <c r="O245" i="1" s="1"/>
  <c r="O327" i="1"/>
  <c r="O333" i="1" s="1"/>
  <c r="O271" i="1" s="1"/>
  <c r="I431" i="1"/>
  <c r="I376" i="1" s="1"/>
  <c r="K77" i="1"/>
  <c r="K148" i="1"/>
  <c r="K79" i="1" s="1"/>
  <c r="K177" i="1"/>
  <c r="I306" i="1"/>
  <c r="I243" i="1" s="1"/>
  <c r="I433" i="1"/>
  <c r="I378" i="1" s="1"/>
  <c r="I432" i="1"/>
  <c r="I377" i="1" s="1"/>
  <c r="H422" i="1"/>
  <c r="H367" i="1" s="1"/>
  <c r="K429" i="1"/>
  <c r="K367" i="1"/>
  <c r="L309" i="1"/>
  <c r="L246" i="1" s="1"/>
  <c r="L454" i="1"/>
  <c r="L400" i="1" s="1"/>
  <c r="L398" i="1"/>
  <c r="L456" i="1"/>
  <c r="L402" i="1" s="1"/>
  <c r="I434" i="1"/>
  <c r="I379" i="1" s="1"/>
  <c r="L435" i="1"/>
  <c r="L380" i="1" s="1"/>
  <c r="L376" i="1"/>
  <c r="N429" i="1"/>
  <c r="N367" i="1"/>
  <c r="K228" i="1"/>
  <c r="L306" i="1"/>
  <c r="L308" i="1"/>
  <c r="L245" i="1" s="1"/>
  <c r="H228" i="1"/>
  <c r="I307" i="1"/>
  <c r="I244" i="1" s="1"/>
  <c r="H298" i="1"/>
  <c r="I327" i="1"/>
  <c r="I309" i="1"/>
  <c r="I246" i="1" s="1"/>
  <c r="L457" i="1"/>
  <c r="L403" i="1" s="1"/>
  <c r="O454" i="1"/>
  <c r="O400" i="1" s="1"/>
  <c r="O398" i="1"/>
  <c r="L307" i="1"/>
  <c r="L244" i="1" s="1"/>
  <c r="I452" i="1"/>
  <c r="L327" i="1"/>
  <c r="O435" i="1"/>
  <c r="O380" i="1" s="1"/>
  <c r="O376" i="1"/>
  <c r="K304" i="1"/>
  <c r="O456" i="1"/>
  <c r="O402" i="1" s="1"/>
  <c r="N304" i="1" l="1"/>
  <c r="N241" i="1" s="1"/>
  <c r="E108" i="1"/>
  <c r="G151" i="1"/>
  <c r="G82" i="1" s="1"/>
  <c r="G157" i="1"/>
  <c r="G88" i="1" s="1"/>
  <c r="G153" i="1"/>
  <c r="F266" i="1"/>
  <c r="F333" i="1"/>
  <c r="F271" i="1" s="1"/>
  <c r="E304" i="1"/>
  <c r="F336" i="1" s="1"/>
  <c r="F329" i="1"/>
  <c r="F268" i="1" s="1"/>
  <c r="F310" i="1"/>
  <c r="F247" i="1" s="1"/>
  <c r="F460" i="1"/>
  <c r="E374" i="1"/>
  <c r="F437" i="1"/>
  <c r="H108" i="1"/>
  <c r="J153" i="1"/>
  <c r="J157" i="1"/>
  <c r="O310" i="1"/>
  <c r="O247" i="1" s="1"/>
  <c r="O243" i="1"/>
  <c r="O331" i="1"/>
  <c r="O270" i="1" s="1"/>
  <c r="O266" i="1"/>
  <c r="O329" i="1"/>
  <c r="O268" i="1" s="1"/>
  <c r="M157" i="1"/>
  <c r="M88" i="1" s="1"/>
  <c r="M151" i="1"/>
  <c r="M82" i="1" s="1"/>
  <c r="M153" i="1"/>
  <c r="M84" i="1" s="1"/>
  <c r="P153" i="1"/>
  <c r="P84" i="1" s="1"/>
  <c r="P151" i="1"/>
  <c r="P82" i="1" s="1"/>
  <c r="K108" i="1"/>
  <c r="P157" i="1"/>
  <c r="P88" i="1" s="1"/>
  <c r="H429" i="1"/>
  <c r="H374" i="1" s="1"/>
  <c r="L329" i="1"/>
  <c r="L268" i="1" s="1"/>
  <c r="L266" i="1"/>
  <c r="L333" i="1"/>
  <c r="L271" i="1" s="1"/>
  <c r="I310" i="1"/>
  <c r="I247" i="1" s="1"/>
  <c r="N374" i="1"/>
  <c r="O437" i="1"/>
  <c r="O382" i="1" s="1"/>
  <c r="N350" i="1" s="1"/>
  <c r="O460" i="1"/>
  <c r="I454" i="1"/>
  <c r="I400" i="1" s="1"/>
  <c r="I398" i="1"/>
  <c r="I456" i="1"/>
  <c r="I402" i="1" s="1"/>
  <c r="I457" i="1"/>
  <c r="I403" i="1" s="1"/>
  <c r="L460" i="1"/>
  <c r="K374" i="1"/>
  <c r="L437" i="1"/>
  <c r="I329" i="1"/>
  <c r="I268" i="1" s="1"/>
  <c r="I266" i="1"/>
  <c r="I331" i="1"/>
  <c r="I270" i="1" s="1"/>
  <c r="I333" i="1"/>
  <c r="I271" i="1" s="1"/>
  <c r="K235" i="1"/>
  <c r="H304" i="1"/>
  <c r="H235" i="1"/>
  <c r="L310" i="1"/>
  <c r="L247" i="1" s="1"/>
  <c r="L243" i="1"/>
  <c r="I435" i="1"/>
  <c r="I380" i="1" s="1"/>
  <c r="L331" i="1"/>
  <c r="L270" i="1" s="1"/>
  <c r="F442" i="1" l="1"/>
  <c r="F448" i="1"/>
  <c r="L448" i="1"/>
  <c r="L445" i="1"/>
  <c r="E241" i="1"/>
  <c r="F312" i="1"/>
  <c r="F462" i="1"/>
  <c r="F408" i="1" s="1"/>
  <c r="F406" i="1"/>
  <c r="F382" i="1"/>
  <c r="F274" i="1"/>
  <c r="G84" i="1"/>
  <c r="G148" i="1"/>
  <c r="O312" i="1"/>
  <c r="O336" i="1"/>
  <c r="M148" i="1"/>
  <c r="K153" i="1" s="1"/>
  <c r="K149" i="1" s="1"/>
  <c r="P148" i="1"/>
  <c r="P79" i="1" s="1"/>
  <c r="I460" i="1"/>
  <c r="I406" i="1" s="1"/>
  <c r="I312" i="1"/>
  <c r="I336" i="1"/>
  <c r="H241" i="1"/>
  <c r="L336" i="1"/>
  <c r="L312" i="1"/>
  <c r="K241" i="1"/>
  <c r="L442" i="1"/>
  <c r="L439" i="1"/>
  <c r="L382" i="1"/>
  <c r="K350" i="1" s="1"/>
  <c r="I345" i="1" s="1"/>
  <c r="I437" i="1"/>
  <c r="I445" i="1" s="1"/>
  <c r="I446" i="1" s="1"/>
  <c r="O462" i="1"/>
  <c r="O408" i="1" s="1"/>
  <c r="O406" i="1"/>
  <c r="L462" i="1"/>
  <c r="L408" i="1" s="1"/>
  <c r="L406" i="1"/>
  <c r="N352" i="1"/>
  <c r="H345" i="1"/>
  <c r="O249" i="1" l="1"/>
  <c r="N212" i="1" s="1"/>
  <c r="H207" i="1" s="1"/>
  <c r="I323" i="1"/>
  <c r="I320" i="1"/>
  <c r="I321" i="1" s="1"/>
  <c r="L320" i="1"/>
  <c r="O338" i="1"/>
  <c r="O276" i="1" s="1"/>
  <c r="I448" i="1"/>
  <c r="F439" i="1"/>
  <c r="F440" i="1" s="1"/>
  <c r="F386" i="1" s="1"/>
  <c r="L323" i="1"/>
  <c r="F323" i="1"/>
  <c r="F324" i="1" s="1"/>
  <c r="F314" i="1"/>
  <c r="F253" i="1" s="1"/>
  <c r="F320" i="1"/>
  <c r="F321" i="1" s="1"/>
  <c r="F260" i="1" s="1"/>
  <c r="F317" i="1"/>
  <c r="F445" i="1"/>
  <c r="F446" i="1" s="1"/>
  <c r="F392" i="1" s="1"/>
  <c r="F338" i="1"/>
  <c r="F276" i="1" s="1"/>
  <c r="F249" i="1"/>
  <c r="F240" i="1" s="1"/>
  <c r="F388" i="1"/>
  <c r="F443" i="1"/>
  <c r="F389" i="1" s="1"/>
  <c r="F394" i="1"/>
  <c r="F449" i="1"/>
  <c r="F395" i="1" s="1"/>
  <c r="E350" i="1"/>
  <c r="F373" i="1"/>
  <c r="N214" i="1"/>
  <c r="G79" i="1"/>
  <c r="E153" i="1"/>
  <c r="O274" i="1"/>
  <c r="M79" i="1"/>
  <c r="N153" i="1"/>
  <c r="O166" i="1" s="1"/>
  <c r="O97" i="1" s="1"/>
  <c r="K84" i="1"/>
  <c r="I346" i="1"/>
  <c r="I347" i="1" s="1"/>
  <c r="L167" i="1"/>
  <c r="L98" i="1" s="1"/>
  <c r="L169" i="1"/>
  <c r="L100" i="1" s="1"/>
  <c r="L166" i="1"/>
  <c r="L97" i="1" s="1"/>
  <c r="K352" i="1"/>
  <c r="L449" i="1"/>
  <c r="L395" i="1" s="1"/>
  <c r="L394" i="1"/>
  <c r="L385" i="1"/>
  <c r="L440" i="1"/>
  <c r="L386" i="1" s="1"/>
  <c r="I382" i="1"/>
  <c r="I442" i="1"/>
  <c r="I439" i="1"/>
  <c r="K80" i="1"/>
  <c r="L192" i="1"/>
  <c r="K158" i="1"/>
  <c r="I462" i="1"/>
  <c r="I408" i="1" s="1"/>
  <c r="L388" i="1"/>
  <c r="L443" i="1"/>
  <c r="L389" i="1" s="1"/>
  <c r="L317" i="1"/>
  <c r="L314" i="1"/>
  <c r="L249" i="1"/>
  <c r="K212" i="1" s="1"/>
  <c r="I207" i="1" s="1"/>
  <c r="I208" i="1" s="1"/>
  <c r="I209" i="1" s="1"/>
  <c r="I274" i="1"/>
  <c r="I338" i="1"/>
  <c r="I276" i="1" s="1"/>
  <c r="L391" i="1"/>
  <c r="L446" i="1"/>
  <c r="L392" i="1" s="1"/>
  <c r="L338" i="1"/>
  <c r="L276" i="1" s="1"/>
  <c r="L274" i="1"/>
  <c r="I317" i="1"/>
  <c r="I314" i="1"/>
  <c r="I249" i="1"/>
  <c r="F385" i="1" l="1"/>
  <c r="E352" i="1"/>
  <c r="F352" i="1" s="1"/>
  <c r="K345" i="1"/>
  <c r="K346" i="1" s="1"/>
  <c r="K347" i="1" s="1"/>
  <c r="F350" i="1"/>
  <c r="F391" i="1"/>
  <c r="F315" i="1"/>
  <c r="F254" i="1" s="1"/>
  <c r="F169" i="1"/>
  <c r="F100" i="1" s="1"/>
  <c r="F167" i="1"/>
  <c r="F98" i="1" s="1"/>
  <c r="F166" i="1"/>
  <c r="E212" i="1"/>
  <c r="K207" i="1" s="1"/>
  <c r="K208" i="1" s="1"/>
  <c r="K209" i="1" s="1"/>
  <c r="F259" i="1"/>
  <c r="F262" i="1"/>
  <c r="F263" i="1"/>
  <c r="F256" i="1"/>
  <c r="F318" i="1"/>
  <c r="F257" i="1" s="1"/>
  <c r="E84" i="1"/>
  <c r="E149" i="1"/>
  <c r="H350" i="1"/>
  <c r="I373" i="1"/>
  <c r="H212" i="1"/>
  <c r="I240" i="1"/>
  <c r="N149" i="1"/>
  <c r="N80" i="1" s="1"/>
  <c r="O167" i="1"/>
  <c r="O98" i="1" s="1"/>
  <c r="O169" i="1"/>
  <c r="O100" i="1" s="1"/>
  <c r="N84" i="1"/>
  <c r="L171" i="1"/>
  <c r="L102" i="1" s="1"/>
  <c r="I324" i="1"/>
  <c r="I263" i="1" s="1"/>
  <c r="I262" i="1"/>
  <c r="I318" i="1"/>
  <c r="I257" i="1" s="1"/>
  <c r="I256" i="1"/>
  <c r="L318" i="1"/>
  <c r="L257" i="1" s="1"/>
  <c r="L256" i="1"/>
  <c r="I449" i="1"/>
  <c r="I395" i="1" s="1"/>
  <c r="I394" i="1"/>
  <c r="I260" i="1"/>
  <c r="I259" i="1"/>
  <c r="L259" i="1"/>
  <c r="L321" i="1"/>
  <c r="L260" i="1" s="1"/>
  <c r="I385" i="1"/>
  <c r="I440" i="1"/>
  <c r="I386" i="1" s="1"/>
  <c r="K214" i="1"/>
  <c r="L324" i="1"/>
  <c r="L263" i="1" s="1"/>
  <c r="L262" i="1"/>
  <c r="K89" i="1"/>
  <c r="I388" i="1"/>
  <c r="I443" i="1"/>
  <c r="I389" i="1" s="1"/>
  <c r="I253" i="1"/>
  <c r="I315" i="1"/>
  <c r="I254" i="1" s="1"/>
  <c r="L315" i="1"/>
  <c r="L254" i="1" s="1"/>
  <c r="L253" i="1"/>
  <c r="L123" i="1"/>
  <c r="L194" i="1"/>
  <c r="L125" i="1" s="1"/>
  <c r="L196" i="1"/>
  <c r="L127" i="1" s="1"/>
  <c r="L197" i="1"/>
  <c r="L128" i="1" s="1"/>
  <c r="I391" i="1"/>
  <c r="I392" i="1"/>
  <c r="J345" i="1" l="1"/>
  <c r="J346" i="1" s="1"/>
  <c r="J347" i="1" s="1"/>
  <c r="I350" i="1"/>
  <c r="H352" i="1"/>
  <c r="I352" i="1" s="1"/>
  <c r="N158" i="1"/>
  <c r="N164" i="1" s="1"/>
  <c r="N95" i="1" s="1"/>
  <c r="E214" i="1"/>
  <c r="F214" i="1" s="1"/>
  <c r="F212" i="1"/>
  <c r="J207" i="1"/>
  <c r="J208" i="1" s="1"/>
  <c r="J209" i="1" s="1"/>
  <c r="I212" i="1"/>
  <c r="E80" i="1"/>
  <c r="E158" i="1"/>
  <c r="F192" i="1"/>
  <c r="F97" i="1"/>
  <c r="F171" i="1"/>
  <c r="F102" i="1" s="1"/>
  <c r="H214" i="1"/>
  <c r="I214" i="1" s="1"/>
  <c r="O192" i="1"/>
  <c r="O194" i="1" s="1"/>
  <c r="O125" i="1" s="1"/>
  <c r="O171" i="1"/>
  <c r="O102" i="1" s="1"/>
  <c r="M160" i="1"/>
  <c r="M163" i="1"/>
  <c r="K163" i="1" s="1"/>
  <c r="K94" i="1" s="1"/>
  <c r="N89" i="1" l="1"/>
  <c r="G163" i="1"/>
  <c r="E163" i="1" s="1"/>
  <c r="E94" i="1" s="1"/>
  <c r="F93" i="1" s="1"/>
  <c r="F194" i="1"/>
  <c r="F125" i="1" s="1"/>
  <c r="F123" i="1"/>
  <c r="F197" i="1"/>
  <c r="F128" i="1" s="1"/>
  <c r="F196" i="1"/>
  <c r="F127" i="1" s="1"/>
  <c r="G160" i="1"/>
  <c r="E89" i="1"/>
  <c r="O197" i="1"/>
  <c r="O128" i="1" s="1"/>
  <c r="O196" i="1"/>
  <c r="O127" i="1" s="1"/>
  <c r="O123" i="1"/>
  <c r="O173" i="1"/>
  <c r="O174" i="1" s="1"/>
  <c r="K164" i="1"/>
  <c r="E164" i="1" l="1"/>
  <c r="O104" i="1"/>
  <c r="N66" i="1" s="1"/>
  <c r="H61" i="1" s="1"/>
  <c r="O200" i="1"/>
  <c r="O131" i="1" s="1"/>
  <c r="L173" i="1"/>
  <c r="L200" i="1"/>
  <c r="K95" i="1"/>
  <c r="L188" i="1" l="1"/>
  <c r="L182" i="1"/>
  <c r="F200" i="1"/>
  <c r="E95" i="1"/>
  <c r="F173" i="1"/>
  <c r="O202" i="1"/>
  <c r="O133" i="1" s="1"/>
  <c r="N68" i="1"/>
  <c r="L131" i="1"/>
  <c r="L202" i="1"/>
  <c r="L133" i="1" s="1"/>
  <c r="L179" i="1"/>
  <c r="L104" i="1"/>
  <c r="K66" i="1" s="1"/>
  <c r="L185" i="1"/>
  <c r="I61" i="1" l="1"/>
  <c r="I62" i="1" s="1"/>
  <c r="I63" i="1" s="1"/>
  <c r="K68" i="1"/>
  <c r="F188" i="1"/>
  <c r="F104" i="1"/>
  <c r="F185" i="1"/>
  <c r="F202" i="1"/>
  <c r="F133" i="1" s="1"/>
  <c r="F131" i="1"/>
  <c r="L113" i="1"/>
  <c r="L183" i="1"/>
  <c r="L114" i="1" s="1"/>
  <c r="L119" i="1"/>
  <c r="L189" i="1"/>
  <c r="L120" i="1" s="1"/>
  <c r="L116" i="1"/>
  <c r="L186" i="1"/>
  <c r="L117" i="1" s="1"/>
  <c r="L180" i="1"/>
  <c r="L111" i="1" s="1"/>
  <c r="L110" i="1"/>
  <c r="F189" i="1" l="1"/>
  <c r="F120" i="1" s="1"/>
  <c r="F119" i="1"/>
  <c r="F186" i="1"/>
  <c r="F117" i="1" s="1"/>
  <c r="F116" i="1"/>
  <c r="E66" i="1"/>
  <c r="F94" i="1"/>
  <c r="J88" i="1"/>
  <c r="J148" i="1"/>
  <c r="J79" i="1" s="1"/>
  <c r="F66" i="1" l="1"/>
  <c r="K61" i="1"/>
  <c r="K62" i="1" s="1"/>
  <c r="K63" i="1" s="1"/>
  <c r="E68" i="1"/>
  <c r="F68" i="1" s="1"/>
  <c r="H153" i="1"/>
  <c r="F153" i="1" s="1"/>
  <c r="J84" i="1"/>
  <c r="I166" i="1" l="1"/>
  <c r="I97" i="1" s="1"/>
  <c r="I169" i="1"/>
  <c r="I100" i="1" s="1"/>
  <c r="H84" i="1"/>
  <c r="I153" i="1"/>
  <c r="H149" i="1"/>
  <c r="I192" i="1" s="1"/>
  <c r="I167" i="1"/>
  <c r="I98" i="1" s="1"/>
  <c r="H158" i="1" l="1"/>
  <c r="H80" i="1"/>
  <c r="I171" i="1"/>
  <c r="I102" i="1" s="1"/>
  <c r="I196" i="1"/>
  <c r="I127" i="1" s="1"/>
  <c r="I194" i="1"/>
  <c r="I125" i="1" s="1"/>
  <c r="I197" i="1"/>
  <c r="I128" i="1" s="1"/>
  <c r="I123" i="1"/>
  <c r="H89" i="1" l="1"/>
  <c r="J160" i="1"/>
  <c r="J163" i="1"/>
  <c r="H163" i="1" s="1"/>
  <c r="H94" i="1" s="1"/>
  <c r="I93" i="1" s="1"/>
  <c r="J82" i="1"/>
  <c r="H164" i="1" l="1"/>
  <c r="I200" i="1" l="1"/>
  <c r="H95" i="1"/>
  <c r="I173" i="1"/>
  <c r="I182" i="1" l="1"/>
  <c r="I183" i="1" s="1"/>
  <c r="I188" i="1"/>
  <c r="F182" i="1"/>
  <c r="F179" i="1"/>
  <c r="I104" i="1"/>
  <c r="I185" i="1"/>
  <c r="I179" i="1"/>
  <c r="I202" i="1"/>
  <c r="I133" i="1" s="1"/>
  <c r="I131" i="1"/>
  <c r="F180" i="1" l="1"/>
  <c r="F111" i="1" s="1"/>
  <c r="F110" i="1"/>
  <c r="F113" i="1"/>
  <c r="F183" i="1"/>
  <c r="F114" i="1" s="1"/>
  <c r="H66" i="1"/>
  <c r="I66" i="1" s="1"/>
  <c r="I94" i="1"/>
  <c r="I119" i="1"/>
  <c r="I189" i="1"/>
  <c r="I120" i="1" s="1"/>
  <c r="I186" i="1"/>
  <c r="I117" i="1" s="1"/>
  <c r="I116" i="1"/>
  <c r="I113" i="1"/>
  <c r="I114" i="1"/>
  <c r="I110" i="1"/>
  <c r="I180" i="1"/>
  <c r="I111" i="1" s="1"/>
  <c r="H68" i="1" l="1"/>
  <c r="I68" i="1" s="1"/>
  <c r="J61" i="1"/>
  <c r="J62" i="1" s="1"/>
  <c r="J6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Victor</author>
  </authors>
  <commentList>
    <comment ref="D68" authorId="0" shapeId="0" xr:uid="{B02E9395-51F5-418F-80B8-3E1C63BDE6A5}">
      <text>
        <r>
          <rPr>
            <b/>
            <sz val="9"/>
            <rFont val="Tahoma"/>
            <family val="2"/>
          </rPr>
          <t>Victor:</t>
        </r>
        <r>
          <rPr>
            <sz val="9"/>
            <rFont val="Tahoma"/>
            <family val="2"/>
          </rPr>
          <t xml:space="preserve">
Poné 1 si tenés Jornada extendida y 0 si no tenés.</t>
        </r>
      </text>
    </comment>
    <comment ref="D215" authorId="0" shapeId="0" xr:uid="{643A3340-0FDD-4881-A130-3FCEFFD1C0EE}">
      <text>
        <r>
          <rPr>
            <b/>
            <sz val="9"/>
            <rFont val="Tahoma"/>
            <family val="2"/>
          </rPr>
          <t>Victor:</t>
        </r>
        <r>
          <rPr>
            <sz val="9"/>
            <rFont val="Tahoma"/>
            <family val="2"/>
          </rPr>
          <t xml:space="preserve">
Poner 1 si lo cobra en 18 horas, 0 si no lo cobra y se pueden utilizar decimales para una cantidad menor a 18, por ejemplo 0,5 para 9 horas o 0,3333 para 6 horas.</t>
        </r>
      </text>
    </comment>
  </commentList>
</comments>
</file>

<file path=xl/sharedStrings.xml><?xml version="1.0" encoding="utf-8"?>
<sst xmlns="http://schemas.openxmlformats.org/spreadsheetml/2006/main" count="1075" uniqueCount="570">
  <si>
    <t>CARGO</t>
  </si>
  <si>
    <t>NOMBRE</t>
  </si>
  <si>
    <t>PUNTOS</t>
  </si>
  <si>
    <t>puntos comp bas 2016</t>
  </si>
  <si>
    <t>TOT 1 Y 2</t>
  </si>
  <si>
    <t>Adic Dir 2016</t>
  </si>
  <si>
    <t>adic dir 2022</t>
  </si>
  <si>
    <t>DIFER.</t>
  </si>
  <si>
    <t>JORN</t>
  </si>
  <si>
    <t>Nina</t>
  </si>
  <si>
    <t>Ext Horaria</t>
  </si>
  <si>
    <t>Volver al simulador</t>
  </si>
  <si>
    <t>Tarea</t>
  </si>
  <si>
    <t>Prol</t>
  </si>
  <si>
    <t>Adic</t>
  </si>
  <si>
    <t>Director De Estudio De 3era. Cat. Transf.</t>
  </si>
  <si>
    <t>Vicerrector 2da. Categoría</t>
  </si>
  <si>
    <t>Rector De 3era. Categoría Jorn. Completa Transf.</t>
  </si>
  <si>
    <t>Rector De 1era. Categoría</t>
  </si>
  <si>
    <t>Rector De 1era. Categoría 3 Turnos</t>
  </si>
  <si>
    <t>Rector Inst. 2da. Categoría</t>
  </si>
  <si>
    <t>Rector Inst. 3era. Categoría</t>
  </si>
  <si>
    <t>Rector Inst. 3era. Cat. Agrotecnica</t>
  </si>
  <si>
    <t>Rector 1era. Categoría Jorn. Completa</t>
  </si>
  <si>
    <t xml:space="preserve">Vicerector 1era. Categoría </t>
  </si>
  <si>
    <t xml:space="preserve">Rector 1era. Categoría 2 Turnos </t>
  </si>
  <si>
    <t>Regente 1era. Categoría</t>
  </si>
  <si>
    <t>Prosecretaria Cat. Unica</t>
  </si>
  <si>
    <t xml:space="preserve">Vicerrector De 3era. Categoría </t>
  </si>
  <si>
    <t>Asesor Pedagogico (12 Horas)</t>
  </si>
  <si>
    <t>Maestro De Egb 3</t>
  </si>
  <si>
    <t>Asesor Pedagogico (24 Horas)</t>
  </si>
  <si>
    <t>Maestro Enseñanza Practicas (12 Hs)</t>
  </si>
  <si>
    <t>Asesor Pedagogica (18 Hs)</t>
  </si>
  <si>
    <t>Maestro Ens. Pract. Jefe Seccion</t>
  </si>
  <si>
    <t xml:space="preserve">Maestro Ens. Pract. </t>
  </si>
  <si>
    <t>Secretario 1era. Categoría</t>
  </si>
  <si>
    <t>Secretario Cat. Unica</t>
  </si>
  <si>
    <t>Secretario Inst. 2da. Categoría</t>
  </si>
  <si>
    <t>Secretario Inst. 3era. Categoría</t>
  </si>
  <si>
    <t>Preceptor</t>
  </si>
  <si>
    <t>Bibliotecario Secundario</t>
  </si>
  <si>
    <t>Ayudante De Trabajos Practicos Transf.</t>
  </si>
  <si>
    <t>Instructor Transferido</t>
  </si>
  <si>
    <t>Jefe Sectorial Ens. Pract. Jorn. Completa Transf.</t>
  </si>
  <si>
    <t>Instructor Resol. 3010</t>
  </si>
  <si>
    <t>Jefe Sectorial Ens. Pract. Con Jorn. Completa</t>
  </si>
  <si>
    <t>Coordinador General Act. Pract.</t>
  </si>
  <si>
    <t>Asesor Pedagogico (36 Hs)</t>
  </si>
  <si>
    <t>Jefe General De Ens. Pract. 1era. Categoría</t>
  </si>
  <si>
    <t>Bibliotecario Superior</t>
  </si>
  <si>
    <t>Ayudante De Clases Practicas Superior</t>
  </si>
  <si>
    <t>Jefe Bibliotecario Superior</t>
  </si>
  <si>
    <t>Rector Tc Superior Transferido</t>
  </si>
  <si>
    <t xml:space="preserve">Rector Tc Superior </t>
  </si>
  <si>
    <t xml:space="preserve">Regente </t>
  </si>
  <si>
    <t>Vicerrector Superior</t>
  </si>
  <si>
    <t>Vicerrector Jorn. Completa</t>
  </si>
  <si>
    <t>Secretario Superior</t>
  </si>
  <si>
    <t>347,6</t>
  </si>
  <si>
    <t>Prosecretario Superior</t>
  </si>
  <si>
    <t>Preceptor Nivel Superior</t>
  </si>
  <si>
    <t>Bedel Transf.</t>
  </si>
  <si>
    <t>Secretario Academico</t>
  </si>
  <si>
    <t>Instructor De Enfermeria Transf.</t>
  </si>
  <si>
    <t>Supervisor De Educación Física</t>
  </si>
  <si>
    <t>776</t>
  </si>
  <si>
    <t>Regente 1era. Cat. C.E.F.</t>
  </si>
  <si>
    <t>388</t>
  </si>
  <si>
    <t>Supervisor Educacion Secundaria</t>
  </si>
  <si>
    <t>Tecnico Docente Ens. Secundaria</t>
  </si>
  <si>
    <t>Secretario 1era. Cat. C.E.F.</t>
  </si>
  <si>
    <t>Tecnico Docente (Dccion. Educ. Tecn. Prof.)</t>
  </si>
  <si>
    <t>Rector 1era. Cat.</t>
  </si>
  <si>
    <t>647</t>
  </si>
  <si>
    <t>Rector 3era. Cat. Centro Formacion Profesional</t>
  </si>
  <si>
    <t>Rector 2da. Cat.</t>
  </si>
  <si>
    <t>582</t>
  </si>
  <si>
    <t xml:space="preserve">Regente 1era. Cat. Esc.Tecnica </t>
  </si>
  <si>
    <t>453</t>
  </si>
  <si>
    <t xml:space="preserve">Rector 3era. Cat. </t>
  </si>
  <si>
    <t>Vicerrector 1era. Cat.</t>
  </si>
  <si>
    <t>518</t>
  </si>
  <si>
    <t>Vicerrector 2da. Cat.</t>
  </si>
  <si>
    <t>Rector 2da. Cat. C.E.F.</t>
  </si>
  <si>
    <t>Vicerrector 2da. Cat. C.E.F.</t>
  </si>
  <si>
    <t>Secretario 2da. Cat. C.E.F.</t>
  </si>
  <si>
    <t>Jefe De Trabajos Practicos Laboratorio Agrario</t>
  </si>
  <si>
    <t xml:space="preserve">Regente 2da. Cat. Esc. Técnica </t>
  </si>
  <si>
    <t>Jefe Seccion Esc. Tecnicas</t>
  </si>
  <si>
    <t>Maestro Ens. Práct.</t>
  </si>
  <si>
    <t>Auxiliar Docente De Trabajos Practicos</t>
  </si>
  <si>
    <t>Secretario 1era. Cat.</t>
  </si>
  <si>
    <t>Secretario 2da. Cat.</t>
  </si>
  <si>
    <t>Secretario 3era. Cat.</t>
  </si>
  <si>
    <t>Maestro Tecnológico Y Especialidades</t>
  </si>
  <si>
    <t>Maestro Ayud.Ens.Práct. Tecnica</t>
  </si>
  <si>
    <t>Bibliotecario</t>
  </si>
  <si>
    <t>Maestro De Grado Tecnico</t>
  </si>
  <si>
    <t>Vicerrector 1era.Cat. C.E.F.</t>
  </si>
  <si>
    <t>Jefe De Laboratorio Tecnico</t>
  </si>
  <si>
    <t>Jefe De Enseñanza Práctica Tecnica</t>
  </si>
  <si>
    <t>Subjefe De Preceptores 1era. Cat.</t>
  </si>
  <si>
    <t>Rector Esc. Sec. Jov. Y Adultos</t>
  </si>
  <si>
    <t>Secretario Esc. Secundaria Jov. Y Adultos</t>
  </si>
  <si>
    <t>Supervisor Zonal Educ. Secundaria Jov. Y Adultos</t>
  </si>
  <si>
    <t>Vicerrector 3era. Cat. Esc. Tecnica</t>
  </si>
  <si>
    <t>Auxiliar Docente De Laboratorio</t>
  </si>
  <si>
    <t>Asesor Pedagógico P13 - Agrotecnico</t>
  </si>
  <si>
    <t xml:space="preserve">Ayudante De Clases Practicas </t>
  </si>
  <si>
    <t>Instructor Esc. Agrotecnica</t>
  </si>
  <si>
    <t>Rector De 1era. Cat. C.E.F.</t>
  </si>
  <si>
    <t>Maestro De Ciclo Basico</t>
  </si>
  <si>
    <t>Coordinador De Accion No Formal</t>
  </si>
  <si>
    <t>Auxiliar De Accion No Formal</t>
  </si>
  <si>
    <t>Instructor Agrotecnico</t>
  </si>
  <si>
    <t>Jefe Taller Esc.Técnica De 3era. Cat. C/Prol. De Jornada</t>
  </si>
  <si>
    <t>Jefe Taller Esc.Técnica De 1era. Cat.</t>
  </si>
  <si>
    <t>Jefe Taller Esc.Técnica De 2da Cat. C/Prol. De Jornada</t>
  </si>
  <si>
    <t>Maestro De Taller Técnico</t>
  </si>
  <si>
    <t>Prosecretario 2da. Y 3era. Cat.</t>
  </si>
  <si>
    <t>Jefe De Preceptores 1era.Cat.</t>
  </si>
  <si>
    <t>Rector De 1era. Cat. Esc. Tecnica Con Prol. De Jornada</t>
  </si>
  <si>
    <t>Rector De 2da. Cat. Esc. Tecnica Con Prol. De Jornada</t>
  </si>
  <si>
    <t>Rector De 3era. Cat. Esc. Tecnica Con Prol. De Jornada</t>
  </si>
  <si>
    <t>Vicerrector 1era. Cat. - Esc. Agrot. Con Prol. Jornada</t>
  </si>
  <si>
    <t>Vicerrector 2da. Cat. - Esc. Agrot. Con Prol. Jornada</t>
  </si>
  <si>
    <t>Jefe De Ens. Y Produccion 1era.Cat. C/Prol. De Jornada</t>
  </si>
  <si>
    <t>517</t>
  </si>
  <si>
    <t>Jefe De Ens. Y Produccion 2da. Cat. C/Prol. De Jornada</t>
  </si>
  <si>
    <t>Jefe De Ens. Y Produccion 3era. Cat. C/Prol. De Jornada</t>
  </si>
  <si>
    <t>Jefe Sección Esc. Agrop.Con Prol. De Jornada</t>
  </si>
  <si>
    <t>Jefe De Residencia Estudiantil 1era. Cat. C/Prol. De Jornada</t>
  </si>
  <si>
    <t>Preceptor De Residencia Estudiantil C/Prol. De Jornada</t>
  </si>
  <si>
    <t>Rector De 1era. Esc. Tecnica Con Prol. Jornada</t>
  </si>
  <si>
    <t>Rector De 2da. Esc. Tecnica Con Prol. Jornada</t>
  </si>
  <si>
    <t>Rector De 3era. Esc. Tecnica Con Prol. Jornada</t>
  </si>
  <si>
    <t>Jefe Sectorial De Jorn. Compl. Agraria</t>
  </si>
  <si>
    <t xml:space="preserve">Rector 3era. Cat. C.E.F. </t>
  </si>
  <si>
    <t>Vicerrector 3era. Cat. C.E.F.</t>
  </si>
  <si>
    <t>Secretario 3era. Cat. C.E.F.</t>
  </si>
  <si>
    <t>Regente De 3era. Cat. Esc. Tecnica</t>
  </si>
  <si>
    <t>Secretario De Unidad Educativa Nivel Inicial 1ra. Cat.</t>
  </si>
  <si>
    <t>Secretario De Unidad Educativa Nivel Inicial 1ra. Cat. Con Prol. De Jornada</t>
  </si>
  <si>
    <t>Secretario De Unidad Educativa Nivel Inicial 2da. Cat.</t>
  </si>
  <si>
    <t>Secretario De Unidad Educativa Nivel Inicial 2da. Cat. Con Prol. De Jornada</t>
  </si>
  <si>
    <t>Secretario De Unidad Educativa Nivel Inicial 3ra. Cat.</t>
  </si>
  <si>
    <t>Supervisor Escolar Artes Visuales</t>
  </si>
  <si>
    <t>Jefe Departamento Supervision Técnica</t>
  </si>
  <si>
    <t>Supervisor Escolar De Zona</t>
  </si>
  <si>
    <t>Supervisor De Educación Especial</t>
  </si>
  <si>
    <t>Supervisor Escolar De Educación Física</t>
  </si>
  <si>
    <t>Supervisor Escolar De Educación Tecnologica</t>
  </si>
  <si>
    <t>Supervisor Escolar De Educación Musical</t>
  </si>
  <si>
    <t>Técnico Docente Educacion Primaria</t>
  </si>
  <si>
    <t>Director Escuela 1era. Cat.</t>
  </si>
  <si>
    <t>Director Del S.A.I.E.</t>
  </si>
  <si>
    <t>Director De Educación Inicial 1era. Cat.</t>
  </si>
  <si>
    <t xml:space="preserve">Director Escuela 2da. Cat. </t>
  </si>
  <si>
    <t xml:space="preserve">Director Unidad Educativa 2da. Cat.Nivel Inicial </t>
  </si>
  <si>
    <t xml:space="preserve">Director De Escuela De Educación Integral </t>
  </si>
  <si>
    <t>Director Escuela 3era. Cat</t>
  </si>
  <si>
    <t>Vicedirector Escuela 1era. Cat.</t>
  </si>
  <si>
    <t>Maestro Auxiliar Jornada Completa</t>
  </si>
  <si>
    <t>Director Escuela 4ta. Cat.</t>
  </si>
  <si>
    <t>Técnico Auxiliar (Eoe-Saie-Esc. Y Centros Educ. Integral)</t>
  </si>
  <si>
    <t>Vicedirector Escuela 2da. Cat.</t>
  </si>
  <si>
    <t>Director Radio Educativo 1era. Cat. Nivel Inicial</t>
  </si>
  <si>
    <t>Director Escuela Primaria Jóvenes Y Adultos 1era. Cat.</t>
  </si>
  <si>
    <t>Director Escuela Coral</t>
  </si>
  <si>
    <t xml:space="preserve">Director Escuela Primaria Jóvenes Y Adultos 2da. Cat. </t>
  </si>
  <si>
    <t xml:space="preserve">Maestro De Sección </t>
  </si>
  <si>
    <t>Director Parque Escolar "E. Berduc"</t>
  </si>
  <si>
    <t>Maestro Educacion Inicial</t>
  </si>
  <si>
    <t xml:space="preserve">Maestro Orientador Integrador </t>
  </si>
  <si>
    <t>Secretario Escuela 2da. Cat.</t>
  </si>
  <si>
    <t xml:space="preserve">Maestro Educ. Artística En Esc. Y Centros De Educ. Integral </t>
  </si>
  <si>
    <t>Secretario Escuela 1era. Cat.</t>
  </si>
  <si>
    <t>Maestro Asistente Escuela Coral</t>
  </si>
  <si>
    <t>Maestro Auxiliar Nivel Primario</t>
  </si>
  <si>
    <t>Maestro Educación Física</t>
  </si>
  <si>
    <t xml:space="preserve">Secretario Escuela Primaria Jóvenes Y Adultos </t>
  </si>
  <si>
    <t>Maestro De Ciclo</t>
  </si>
  <si>
    <t>Secretario 1era. Cat. Nivel Inicial</t>
  </si>
  <si>
    <t>Técnico Docente De Educación Especial</t>
  </si>
  <si>
    <t>Tecnico Docente Biblioteca Escolares</t>
  </si>
  <si>
    <t xml:space="preserve">Maestro Escuela Primaria Jóvenes Y Adultos </t>
  </si>
  <si>
    <t>Maestro De Educ. Tecnologica</t>
  </si>
  <si>
    <t>Secretario Parque Escolar</t>
  </si>
  <si>
    <t>Maestro Educacion Agropecuaria</t>
  </si>
  <si>
    <t xml:space="preserve">Archivista - Uader </t>
  </si>
  <si>
    <t>Bibliotecario Pedagógico</t>
  </si>
  <si>
    <t>Coordinador De Educación Temprana</t>
  </si>
  <si>
    <t>Maestro Educación Musical</t>
  </si>
  <si>
    <t xml:space="preserve">Maestro De Artes Visuales </t>
  </si>
  <si>
    <t>Maestro Artes Visuales J. Compl.</t>
  </si>
  <si>
    <t>Vicedirector Escuela Educación Integral</t>
  </si>
  <si>
    <t>Maestro Educ. Física De Esc. Y Centros De Educ. Integral</t>
  </si>
  <si>
    <t>Técnico Docente Educ. Jóvenes Y Adultos</t>
  </si>
  <si>
    <t>Supervisor Zonal Educación Primaria Jóvenes Y Adultos</t>
  </si>
  <si>
    <t>Jefe Dpto. Tecnico Educacion De Jovenes Y Adultos</t>
  </si>
  <si>
    <t>Maestro De Orientación Vocacional Y Ocupacional De Esc. Y Centros De Educ. Integral Y/O Terapéutico</t>
  </si>
  <si>
    <t>Maestro De Formación Laboral Y Ocupacional De Esc. Y Centros De Educ. Integral Y/O Terapéutico</t>
  </si>
  <si>
    <t xml:space="preserve">Secretario Escuela De Educación Integral </t>
  </si>
  <si>
    <t>Maestro De Taller</t>
  </si>
  <si>
    <t>Tecnico Docente Direccion De Planeamiento</t>
  </si>
  <si>
    <t>Director Unidad Educativa 3era. Cat. Nivel Inicial</t>
  </si>
  <si>
    <t>Capacitador Laboral</t>
  </si>
  <si>
    <t xml:space="preserve">Jefe Dpto. Técnico Pedagógico </t>
  </si>
  <si>
    <t>Coordinador Dptal. De Educ. Jóvenes Y Adultos</t>
  </si>
  <si>
    <t>Maestro Esp. Dpto. Aplicación Lengua</t>
  </si>
  <si>
    <t>Vicedirector De Educación Inicial 1era. Cat.</t>
  </si>
  <si>
    <t>Maestro Especial Jardin De Infantes</t>
  </si>
  <si>
    <t>Maestro Auxiliar De Educ. Inicial</t>
  </si>
  <si>
    <t>Supervisor Nivel Inicial</t>
  </si>
  <si>
    <t>Supervisor Técnico</t>
  </si>
  <si>
    <t>Director Dpto. Aplicación</t>
  </si>
  <si>
    <t xml:space="preserve">Vicedirector Dpto. Aplicación </t>
  </si>
  <si>
    <t>Secretario Dpto. Aplicación</t>
  </si>
  <si>
    <t>Maestro Dpto. Aplicación</t>
  </si>
  <si>
    <t>Jefe De Industrias A. Tec - Uader</t>
  </si>
  <si>
    <t>Director Unidad Educativa 1era. Cat. Nivel Inicial Con P/J.</t>
  </si>
  <si>
    <t>Vice-Director Nivel Inicial 1era. Cat. Con P/J</t>
  </si>
  <si>
    <t>Maestro Nivel Inicial Con P/J.</t>
  </si>
  <si>
    <t>Maestro Escuela Primaria En Contexto De Privacion De La Libertad</t>
  </si>
  <si>
    <t>Visitador En Contexto De Privacion De La Libertad</t>
  </si>
  <si>
    <t>Maestro Educacion Artistica En Contexto De Privacion De La Libertad</t>
  </si>
  <si>
    <t>Director Escuela En Contexto De Privacion De La Libertad</t>
  </si>
  <si>
    <t>Director Escuela 1era. Cat. Jornada Completa</t>
  </si>
  <si>
    <t>Director Escuela 2da. Cat. Jornada Completa</t>
  </si>
  <si>
    <t>Director Escuela 3era. Cat. Jornada Completa</t>
  </si>
  <si>
    <t>Director Escuela 4ta. Cat. Jornada Completa</t>
  </si>
  <si>
    <t>Vicedirector Escuela 2da. Cat. Jornada Completa</t>
  </si>
  <si>
    <t>Maestro De Ciclo Jornada Completa</t>
  </si>
  <si>
    <t>Maestro Educ. Tecnologica Jornada Completa</t>
  </si>
  <si>
    <t>Vicedirector De Educación Inicial 2da. Cat.</t>
  </si>
  <si>
    <t xml:space="preserve">Maestro De Taller Anexo Albergue </t>
  </si>
  <si>
    <t>Maestro De Ciclo Anexo Albergue</t>
  </si>
  <si>
    <t>Maestro Educ. Tecnologica Anexo Albergue</t>
  </si>
  <si>
    <t>Director Escuela 3era. Cat. Anexo Albergue</t>
  </si>
  <si>
    <t>Director Escuela 4ta. Cat. Anexo Albergue</t>
  </si>
  <si>
    <t>Celador Docente Jornada Simple</t>
  </si>
  <si>
    <t>Vicedirector Escuela 1º Cat. Jornada Compl.</t>
  </si>
  <si>
    <t>Secretario Escuela 1era. Cat. Jornada Compl.</t>
  </si>
  <si>
    <t>Secretario Escuela 2da. Cat. Jornada Compl.</t>
  </si>
  <si>
    <t>Secretario Escuela 3era. Cat. Jornada Compl.</t>
  </si>
  <si>
    <t>Rector Esc. Sec. Jov. Y Adultos En Contexto De Priv. De La Libertad</t>
  </si>
  <si>
    <t>Técnico Docente Nivel Inicial</t>
  </si>
  <si>
    <t>Maestro 1er. Año Escuela Secundaria Jóvenes Y Adultos En Contexto De Privacion De La Libertad</t>
  </si>
  <si>
    <t>Maestro Educacion Artistica Jóvenes Y Adultos</t>
  </si>
  <si>
    <t>Educador Jóvenes Y Adultos (Capacitador Laboral)</t>
  </si>
  <si>
    <t>Maestro Educación Musical Jornada Completa</t>
  </si>
  <si>
    <t>Maestro Educacion Física Jornada Completa</t>
  </si>
  <si>
    <t>Bibliotecario Jornada Completa</t>
  </si>
  <si>
    <t>Maestro Educacion Musical Anexo Albergue</t>
  </si>
  <si>
    <t>Maestro Educacion Física Anexo Albergue</t>
  </si>
  <si>
    <t>Celador Esc. Anexo Albergue</t>
  </si>
  <si>
    <t>Maestro De Taller Jornada Compl.</t>
  </si>
  <si>
    <t>Maestro Educacion Agropecuaria J.C.</t>
  </si>
  <si>
    <t>Secretario 3era. Cat. Escuela Secundaria Jovenes Y Adultos En Contexto De Privacion De La Libertad</t>
  </si>
  <si>
    <t>Director Escuela Personal Único</t>
  </si>
  <si>
    <t>Secretario Escuela 3era. Cat.</t>
  </si>
  <si>
    <t xml:space="preserve">Coordinador De Centro Comunitario </t>
  </si>
  <si>
    <t xml:space="preserve">Maestro 1er. Año Escuela Secundaria Jóvenes Y Adultos </t>
  </si>
  <si>
    <t>Maestro Educación Agropecuaria Anexo Albergue</t>
  </si>
  <si>
    <t>Maestro De Ctro. Educ. Educacion Primaria De Jov. Y Adultos</t>
  </si>
  <si>
    <t>Jefe Dpto. Pedag. Y Superv. (Ens.Privada)</t>
  </si>
  <si>
    <t>Supervisor Ens. Especial (Enseñanza Privada)</t>
  </si>
  <si>
    <t>Supervisor Ens.Primaria (Enseñanza Privada)</t>
  </si>
  <si>
    <t>Supervisor Ens. Inicial (Enseñanza Privada)</t>
  </si>
  <si>
    <t>Tutor/A Educativo Dep. De Jovenes Y Adultos</t>
  </si>
  <si>
    <t>Tecnico Docente Enseñanza Privada</t>
  </si>
  <si>
    <t>Supervisor Enseñanza Secundaria (Ens. Privada)</t>
  </si>
  <si>
    <t>Prof.Titular Dedic. Exclusiva - Uader</t>
  </si>
  <si>
    <t>Prof. Asoc. Dedic. Exclusiva - Uader</t>
  </si>
  <si>
    <t>Prof. Adj. Dedic. Exclusiva - Uader</t>
  </si>
  <si>
    <t>Jefe Trabajos Pract. Dedic. Exclusiva - Uader</t>
  </si>
  <si>
    <t>Auxiliar Docente 1era. Cat. Dedic. Exclusiva - Uader</t>
  </si>
  <si>
    <t>Auxiliar Docente 1era. Cat. Dedic. Parcial - Uader</t>
  </si>
  <si>
    <t>Jefe Trabajos Pract. Dedic. Parcial - Uader</t>
  </si>
  <si>
    <t>Prof.Titular Dedic. Parcial - Uader</t>
  </si>
  <si>
    <t>Prof. Asoc. Dedic. Parcial - Uader</t>
  </si>
  <si>
    <t>Prof. Adj. Dedic. Parcial - Uader</t>
  </si>
  <si>
    <t>Prof. Titular Dedic. Simple - Uader</t>
  </si>
  <si>
    <t>Prof. Asoc. Dedic. Simple - Uader</t>
  </si>
  <si>
    <t>Prof. Adj. Dedic Simple - Uader</t>
  </si>
  <si>
    <t>Jefe Trabajos Pract.Dedic. Simple - Uader</t>
  </si>
  <si>
    <t>Auxiliar Docente 1era. Cat. Dedic. Simple - Uader</t>
  </si>
  <si>
    <t>Analista Técnico</t>
  </si>
  <si>
    <t xml:space="preserve">Supervisor Instituto Superior </t>
  </si>
  <si>
    <t>Técnico Docente Educación Superior</t>
  </si>
  <si>
    <t>Rector Instituto Superior</t>
  </si>
  <si>
    <t xml:space="preserve">Vicerrector Instituto Superior </t>
  </si>
  <si>
    <t>Secretario Académico</t>
  </si>
  <si>
    <t>Regente Instituto Superior</t>
  </si>
  <si>
    <t>Secretario Instituto Superior</t>
  </si>
  <si>
    <t>Prosecretario Instituto Superior</t>
  </si>
  <si>
    <t>Bedel</t>
  </si>
  <si>
    <t>Ayudante Trabajos Prácticos</t>
  </si>
  <si>
    <t>Preceptor Instituto Superior</t>
  </si>
  <si>
    <t>Instructor Instituto Superior</t>
  </si>
  <si>
    <t>Bibliotecario Instituto Superior</t>
  </si>
  <si>
    <t>Maestro De Educ. Fisica Especial</t>
  </si>
  <si>
    <t>Maestro De Educ. Artistica Especial</t>
  </si>
  <si>
    <t>Maestro De Educ. Musical Especial</t>
  </si>
  <si>
    <t>Director De Escuela 1era. Cat.</t>
  </si>
  <si>
    <t>Director De Escuela 2da. Cat.</t>
  </si>
  <si>
    <t>Director De Escuela 3era. Cat.</t>
  </si>
  <si>
    <t>Director De Escuela 4ta. Cat.</t>
  </si>
  <si>
    <t>Director Escuela Educación Especial</t>
  </si>
  <si>
    <t>Director De Escuela Adultos 2da. Cat.</t>
  </si>
  <si>
    <t>Director De Escuela Nivel Inicial 2da. Cat.</t>
  </si>
  <si>
    <t>Vicedirector Esc. 1era. Cat.</t>
  </si>
  <si>
    <t>Vicedirector Esc. 2da. Cat.</t>
  </si>
  <si>
    <t>Vicedirector Esc. Especial</t>
  </si>
  <si>
    <t>Secretaria De Escuela De 2da. Cat.</t>
  </si>
  <si>
    <t>Maestro De Grado Diferenciado</t>
  </si>
  <si>
    <t>Maestro De Nivel Inicial</t>
  </si>
  <si>
    <t>Maestro De Grupo Esc. Especial</t>
  </si>
  <si>
    <t>Maestro De Grado Adultos</t>
  </si>
  <si>
    <t>Maestro De Educación Física</t>
  </si>
  <si>
    <t>Maestro De Materias Especiales</t>
  </si>
  <si>
    <t>Maestro De Materias Especiales Esc. Especial</t>
  </si>
  <si>
    <t>Psicólogo</t>
  </si>
  <si>
    <t>Musico Terapeuta</t>
  </si>
  <si>
    <t>Asistente Social</t>
  </si>
  <si>
    <t>Preceptor Escuela Especial</t>
  </si>
  <si>
    <t>Director Esc. Capacit. Técnica 4ta. Cat.</t>
  </si>
  <si>
    <t>Maestro Cultura General Cap. Tecnica</t>
  </si>
  <si>
    <t>Rector Nivel Superior - Uader</t>
  </si>
  <si>
    <t>Secretario Nivel Superior - Uader</t>
  </si>
  <si>
    <t>Bibliotecario Nivel Superior - Uader</t>
  </si>
  <si>
    <t>Preceptor Nivel Superior - Uader</t>
  </si>
  <si>
    <t>Bedel - Uader</t>
  </si>
  <si>
    <t>Ayudante Trabajos Prácticos - Uader</t>
  </si>
  <si>
    <t>Maestro De Orientacion Vocacional Y Ocupacional Esc. Especiales</t>
  </si>
  <si>
    <t>Maestro De Formación Laboral Y Ocupacional Esc. Especiales</t>
  </si>
  <si>
    <t>Director Esc. Capacit. Técn. 3era. Cat.</t>
  </si>
  <si>
    <t>Director Esc. Capacit. Técn. 1era. Cat.</t>
  </si>
  <si>
    <t>Director Esc. Capacit. Técn. 2da. Cat.</t>
  </si>
  <si>
    <t>Fonoaudiólogo</t>
  </si>
  <si>
    <t>Secretario Esc. De 1era. Cat.</t>
  </si>
  <si>
    <t xml:space="preserve">Director Esc. De Jorn. Completa De 2da. Cat. </t>
  </si>
  <si>
    <t>Maestro De Ciclo Esc. De Jornada Completa</t>
  </si>
  <si>
    <t>Maestro Educación Física Esc. De Jorn. Completa</t>
  </si>
  <si>
    <t>Secretario Esc. 2da. Cat. Jorn. Completa</t>
  </si>
  <si>
    <t xml:space="preserve">Terapista Ocupacional </t>
  </si>
  <si>
    <t>Psicomotricista</t>
  </si>
  <si>
    <t>Psicopedagogo</t>
  </si>
  <si>
    <t>Maestro Act. Practicas Jorn. Completas</t>
  </si>
  <si>
    <t>Maestro De Educ. Musical Jorn. Completa</t>
  </si>
  <si>
    <t>Vicedirector Esc. De Jorn. Completa</t>
  </si>
  <si>
    <t>Moi</t>
  </si>
  <si>
    <t>Director Esc. Jorn. Completa De 3era. Cat.</t>
  </si>
  <si>
    <t>Vicedirector De Esc.Cap. Técn. 1era. Cat.</t>
  </si>
  <si>
    <t>Director Esc. Nivel Inicial 1era. Cat.</t>
  </si>
  <si>
    <t>Vicedirector Esc. Nivel Inicial 2da. Cat.</t>
  </si>
  <si>
    <t>Secretario Doc. Esc. Enf. Uader</t>
  </si>
  <si>
    <t>Secretario Adm. Esc. Enf. Uader</t>
  </si>
  <si>
    <t>Instructor Nivel Superior - Uader</t>
  </si>
  <si>
    <t>Vicedirector Esc. Nivel Inicial 3era. Cat.</t>
  </si>
  <si>
    <t>Vicedirector Esc. Nivel Inicial 1era.Cat</t>
  </si>
  <si>
    <t>Secretario Academico - Uader</t>
  </si>
  <si>
    <t>Jefe Laboratorio Computación - Uader</t>
  </si>
  <si>
    <t>Coordinador De Centro Privado Integral</t>
  </si>
  <si>
    <t>Preceptor Guia Internado Instituto Sup. - Uader</t>
  </si>
  <si>
    <t>Secretario Escuela Especial</t>
  </si>
  <si>
    <t>Director Esc. De Nivel Inicial 3era. Cat.</t>
  </si>
  <si>
    <t>Director Esc. De Nivel Inicial 4ta. Cat.</t>
  </si>
  <si>
    <t>Kinesiólogo</t>
  </si>
  <si>
    <t>Maestro De Educacion Practica</t>
  </si>
  <si>
    <t>Secretario Esc. Nivel Inicial 1era. Cat.</t>
  </si>
  <si>
    <t>Secretario Esc. Nivel Inicial 2da. Cat.</t>
  </si>
  <si>
    <t>Secretario Esc. Nivel Inicial 3era. Cat.</t>
  </si>
  <si>
    <t>Maestro Auxiliar De Nivel Inicial</t>
  </si>
  <si>
    <t>Maestro Dpto. Aplicación Lengua - Uader</t>
  </si>
  <si>
    <t>Maestro Espec. Dpto. Aplicación Lenguas Vivas - Uader</t>
  </si>
  <si>
    <t>Analista Técnico - Uader</t>
  </si>
  <si>
    <t>Maestro Especial Jardín De Infantes - Uader</t>
  </si>
  <si>
    <t>Maestro Jardín De Infantes - Uader</t>
  </si>
  <si>
    <t>Vicerrector Nivel Superior - Uader</t>
  </si>
  <si>
    <t>Regente Nivel Superior - Uader</t>
  </si>
  <si>
    <t>Vicedirector Esc. De 3era. Cat.</t>
  </si>
  <si>
    <t>Secretario Esc. Jorn. Completa 1era. Cat.</t>
  </si>
  <si>
    <t>Sec. Esc. De Jorn. Completa 3era. Cat.</t>
  </si>
  <si>
    <t>Prosecretario Nivel Superior - Uader</t>
  </si>
  <si>
    <t>Secretario Esc. De 3era. Cat.</t>
  </si>
  <si>
    <r>
      <t xml:space="preserve">Simulador Salario docente Entre Ríos </t>
    </r>
    <r>
      <rPr>
        <b/>
        <u/>
        <sz val="16"/>
        <color theme="4" tint="-0.499984740745262"/>
        <rFont val="Arial"/>
        <family val="2"/>
      </rPr>
      <t>(2026)</t>
    </r>
  </si>
  <si>
    <t>Por acum Anual</t>
  </si>
  <si>
    <t>Listado de Cargos</t>
  </si>
  <si>
    <t xml:space="preserve">Canasta de Indigencia: </t>
  </si>
  <si>
    <t>Por favor avisar si encuentran errores</t>
  </si>
  <si>
    <t>Canasta de la pobreza:</t>
  </si>
  <si>
    <t>Los porcentajes de aumento indicados en cada mes son acumulados anuales</t>
  </si>
  <si>
    <t>Solo completar los datos en rojo</t>
  </si>
  <si>
    <t>de la canasta básica total"</t>
  </si>
  <si>
    <t>Inicial sin montos en negro:</t>
  </si>
  <si>
    <t>IPC Acum Anual</t>
  </si>
  <si>
    <t>Escala de antigüedades</t>
  </si>
  <si>
    <t>Años</t>
  </si>
  <si>
    <t>Porcentaje</t>
  </si>
  <si>
    <t>Final</t>
  </si>
  <si>
    <t>hasta 971</t>
  </si>
  <si>
    <t>972&lt;pi&lt;= 1169</t>
  </si>
  <si>
    <t>1170&lt;pi&lt;1400</t>
  </si>
  <si>
    <t>1401&lt;pi&lt;1942</t>
  </si>
  <si>
    <t>1943&lt;pi&lt;=2220</t>
  </si>
  <si>
    <t>pi&gt;2220</t>
  </si>
  <si>
    <t>pijc&gt;=620 971</t>
  </si>
  <si>
    <t>JC &gt; 971</t>
  </si>
  <si>
    <t>JC defint</t>
  </si>
  <si>
    <t>Porc aumento índice</t>
  </si>
  <si>
    <t>18,00%</t>
  </si>
  <si>
    <t>Nuevo Índice</t>
  </si>
  <si>
    <t>#¿NOMBRE?</t>
  </si>
  <si>
    <t>Auminddic</t>
  </si>
  <si>
    <t>Para conocer el código del cargo hacer clic en la hoja cargos</t>
  </si>
  <si>
    <t>Porc aumento prol Jornada</t>
  </si>
  <si>
    <t>20,00%</t>
  </si>
  <si>
    <t>Nuevo Prol Jorn</t>
  </si>
  <si>
    <t>aumjorcompdic</t>
  </si>
  <si>
    <t>% de aum código 06</t>
  </si>
  <si>
    <t>16,00%</t>
  </si>
  <si>
    <t>Multiplicador</t>
  </si>
  <si>
    <t>116,0%</t>
  </si>
  <si>
    <t>aum cod 06 dic</t>
  </si>
  <si>
    <t>#########</t>
  </si>
  <si>
    <t>Modificadores diálogo 2013</t>
  </si>
  <si>
    <t>Nuevo sueldo testigo (maestro, 0% antig)</t>
  </si>
  <si>
    <t>Aumento cargo testigo</t>
  </si>
  <si>
    <t>CARGOS</t>
  </si>
  <si>
    <t>indicedic25</t>
  </si>
  <si>
    <t>Indiceproljordic25</t>
  </si>
  <si>
    <t>Aclaración importante:</t>
  </si>
  <si>
    <t>Realizado de acuerdo a datos de prensa</t>
  </si>
  <si>
    <t>Puede haber errores</t>
  </si>
  <si>
    <t>Sirve como herramienta orientativa</t>
  </si>
  <si>
    <t>Punto Índice</t>
  </si>
  <si>
    <t>% de aumento</t>
  </si>
  <si>
    <t>P. Índice Jor Comp.</t>
  </si>
  <si>
    <t>Efecto de la base de cálculo no actualizada</t>
  </si>
  <si>
    <t>completar el cargo a la izquierda y buscar el resultado a la derecha</t>
  </si>
  <si>
    <t>PUNTOS basicos</t>
  </si>
  <si>
    <t>tarea DIFER.</t>
  </si>
  <si>
    <t>Prol JORN</t>
  </si>
  <si>
    <t>Combas2016</t>
  </si>
  <si>
    <t>Adic Esc Nina</t>
  </si>
  <si>
    <t>Comp dir 2016</t>
  </si>
  <si>
    <t>comp dir 2022</t>
  </si>
  <si>
    <t>Puntos Extensión</t>
  </si>
  <si>
    <t>NOMBRE del cargo</t>
  </si>
  <si>
    <t>Buscar en la hoja cargos si no saben el número del cargo y luego controlar por el nombre</t>
  </si>
  <si>
    <t>¿Sos directivo de escuela Nina?</t>
  </si>
  <si>
    <t>Si: 1; No: 0</t>
  </si>
  <si>
    <t>Aumento acumulado</t>
  </si>
  <si>
    <t>Años de antigüedad</t>
  </si>
  <si>
    <t>poné los años</t>
  </si>
  <si>
    <t>Porcentaje acum</t>
  </si>
  <si>
    <t>Aumento Provincial</t>
  </si>
  <si>
    <t>Transporte: cant km semanales</t>
  </si>
  <si>
    <t>Sueldo Liquido</t>
  </si>
  <si>
    <t>Puntos básicos</t>
  </si>
  <si>
    <t>Puntos de jornada completa</t>
  </si>
  <si>
    <t>Sin Montos en negro:</t>
  </si>
  <si>
    <t>Complemento NEP</t>
  </si>
  <si>
    <t>CODIGO</t>
  </si>
  <si>
    <t>PORCENT</t>
  </si>
  <si>
    <t>CONCEPTO</t>
  </si>
  <si>
    <t>HABERES</t>
  </si>
  <si>
    <t>DESCUENTOS</t>
  </si>
  <si>
    <t>Asignación de la categoría</t>
  </si>
  <si>
    <t>Complemento de Básico</t>
  </si>
  <si>
    <t>Nuevo</t>
  </si>
  <si>
    <t>03 o 08</t>
  </si>
  <si>
    <t>Complemento directivo</t>
  </si>
  <si>
    <t>Adicional Nina</t>
  </si>
  <si>
    <t>Adic. Art. 2 y 3 Dcrto. 5863/05</t>
  </si>
  <si>
    <t>Antigüedad</t>
  </si>
  <si>
    <t>Product. Dcrto. 5863/05</t>
  </si>
  <si>
    <t>Plus productividad docente</t>
  </si>
  <si>
    <t>Prolongación de Jornada</t>
  </si>
  <si>
    <t>Función diferencial docente</t>
  </si>
  <si>
    <t>Bonific Ubic Escuela (ZONA)</t>
  </si>
  <si>
    <t>Adicional para mínimo</t>
  </si>
  <si>
    <t>Monto Remunerativo</t>
  </si>
  <si>
    <t>Nuevo cod Bonif y Remun</t>
  </si>
  <si>
    <t>Compensación por traslado</t>
  </si>
  <si>
    <t>Varios</t>
  </si>
  <si>
    <t>Total Asignaciones Familiares</t>
  </si>
  <si>
    <t>Total nominal provincia</t>
  </si>
  <si>
    <t>FOPID</t>
  </si>
  <si>
    <t>Conectividad Provincial</t>
  </si>
  <si>
    <t>Total haberes</t>
  </si>
  <si>
    <t>Reajuste cod 188</t>
  </si>
  <si>
    <t>16% JUN  a 19% JUL</t>
  </si>
  <si>
    <t>Ap jubilat</t>
  </si>
  <si>
    <t>Ob social</t>
  </si>
  <si>
    <t>Seg vida</t>
  </si>
  <si>
    <t>Aporte sindical AGMER</t>
  </si>
  <si>
    <t>Otro desc</t>
  </si>
  <si>
    <t>Descuentos</t>
  </si>
  <si>
    <t>Aumento Remunerativo</t>
  </si>
  <si>
    <t>Porcentaje Remunerativo</t>
  </si>
  <si>
    <t>4000xx</t>
  </si>
  <si>
    <t>Sueldo líquido</t>
  </si>
  <si>
    <t>Total remunerativos</t>
  </si>
  <si>
    <t>Aumento del mes</t>
  </si>
  <si>
    <t>Porc resp a anterior</t>
  </si>
  <si>
    <t>Rem Porcentual</t>
  </si>
  <si>
    <t>Porcentaje acumulado</t>
  </si>
  <si>
    <t>Aumento Remunerativo Acum</t>
  </si>
  <si>
    <t>Medio Aguinaldo</t>
  </si>
  <si>
    <t>código 100</t>
  </si>
  <si>
    <t>código 186 (No remun)</t>
  </si>
  <si>
    <t>Líquido</t>
  </si>
  <si>
    <t>Descuentos con aguinaldo</t>
  </si>
  <si>
    <t>Sueldo líquido incluyendo aguinaldo</t>
  </si>
  <si>
    <t>Aguinaldo de bolsillo</t>
  </si>
  <si>
    <t>HORAS DE NIVEL MEDIO</t>
  </si>
  <si>
    <t>Número de horas</t>
  </si>
  <si>
    <t>Años de Antigüedad</t>
  </si>
  <si>
    <t>Por los topes de algunos códigos</t>
  </si>
  <si>
    <t>Nº horas que cobran código 06</t>
  </si>
  <si>
    <t>Nº horas que cobran incentivo</t>
  </si>
  <si>
    <t>Adicional horas media (1: Si; 0: No)</t>
  </si>
  <si>
    <t>Cant horas Cod 38</t>
  </si>
  <si>
    <t>Trans: cant km semanales</t>
  </si>
  <si>
    <t>Horas cátedra</t>
  </si>
  <si>
    <t>Productiv Dcrto. 5863/05</t>
  </si>
  <si>
    <t>Adicional horas media</t>
  </si>
  <si>
    <t>Aprox</t>
  </si>
  <si>
    <t>NUEVO ADIC. HS. CAT.</t>
  </si>
  <si>
    <t>Sueldo Nominal Provincia</t>
  </si>
  <si>
    <t>Otros</t>
  </si>
  <si>
    <t>Haberes</t>
  </si>
  <si>
    <t>Ap jubilatorio</t>
  </si>
  <si>
    <t>Obra social</t>
  </si>
  <si>
    <t>Aumento acumulado anual</t>
  </si>
  <si>
    <t>HORAS DE NIVEL Superior</t>
  </si>
  <si>
    <t>Sueldo nominal provincia</t>
  </si>
  <si>
    <t>Autor</t>
  </si>
  <si>
    <t>Víctor Hugo Hutt</t>
  </si>
  <si>
    <t>AGMER Seccional Uruguay</t>
  </si>
  <si>
    <t>huttvictor@gmail.com</t>
  </si>
  <si>
    <t>www.agmeruruguay.com.ar</t>
  </si>
  <si>
    <t>Facebook: agmeruruguay</t>
  </si>
  <si>
    <t>www.victorhutt.com.ar</t>
  </si>
  <si>
    <t>indicemay26</t>
  </si>
  <si>
    <t>Indiceproljormay26</t>
  </si>
  <si>
    <t>Aumentomayo26</t>
  </si>
  <si>
    <t xml:space="preserve">Sueldo inicial: </t>
  </si>
  <si>
    <t>FOPID ART 2 DTO 500</t>
  </si>
  <si>
    <t>Conectividad Art2 Dto 500</t>
  </si>
  <si>
    <t>Complem FOPID. (Adic Mín Negro!!)</t>
  </si>
  <si>
    <t>Total Montos en negro</t>
  </si>
  <si>
    <t>indicejul26</t>
  </si>
  <si>
    <t>Indiceproljorjul26</t>
  </si>
  <si>
    <t>indicesep26</t>
  </si>
  <si>
    <t>Indiceproljorsep26</t>
  </si>
  <si>
    <t>Aumentojulio26</t>
  </si>
  <si>
    <t>Aumentoseptiembre26</t>
  </si>
  <si>
    <t>Es de Junio 26</t>
  </si>
  <si>
    <r>
      <t xml:space="preserve">Diciembre 25 hasta junio 26 </t>
    </r>
    <r>
      <rPr>
        <sz val="11"/>
        <color theme="1"/>
        <rFont val="Arial"/>
        <family val="2"/>
      </rPr>
      <t>(porque no hubo recupero en enero)</t>
    </r>
  </si>
  <si>
    <t>Sueldo Julio respecto a CBT Junio</t>
  </si>
  <si>
    <t>% CBT Junio</t>
  </si>
  <si>
    <t>% CBT Abril</t>
  </si>
  <si>
    <r>
      <t xml:space="preserve">Desde Dic 25 a </t>
    </r>
    <r>
      <rPr>
        <b/>
        <sz val="22"/>
        <color theme="0"/>
        <rFont val="Arial"/>
        <family val="2"/>
      </rPr>
      <t>Julio 26</t>
    </r>
  </si>
  <si>
    <t>Actualizado 20/07/2026</t>
  </si>
  <si>
    <t>Septiembre fue anunciado pero no apareció en el decreto</t>
  </si>
  <si>
    <t>De acuerdo a Decreto 1990/26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</si>
</sst>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$&quot;\ * #,##0.00_-;\-&quot;$&quot;\ * #,##0.00_-;_-&quot;$&quot;\ * &quot;-&quot;??_-;_-@_-"/>
    <numFmt numFmtId="164" formatCode="0.0"/>
    <numFmt numFmtId="165" formatCode="_-&quot;$&quot;\ * #,##0_-;\-&quot;$&quot;\ * #,##0_-;_-&quot;$&quot;\ * &quot;-&quot;??_-;_-@_-"/>
    <numFmt numFmtId="166" formatCode="0.0%"/>
    <numFmt numFmtId="167" formatCode="0.000"/>
    <numFmt numFmtId="168" formatCode="0.00000"/>
    <numFmt numFmtId="169" formatCode="0.0000"/>
    <numFmt numFmtId="170" formatCode="0.000000"/>
    <numFmt numFmtId="171" formatCode="0.00000000"/>
    <numFmt numFmtId="172" formatCode="0.0000%"/>
    <numFmt numFmtId="173" formatCode="0.000%"/>
    <numFmt numFmtId="174" formatCode="#,000.00_);[Red]\(#,000.00\)"/>
    <numFmt numFmtId="175" formatCode="0.0000000"/>
    <numFmt numFmtId="176" formatCode="0.0000000%"/>
  </numFmts>
  <fonts count="1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b/>
      <sz val="10"/>
      <color rgb="FFFF0000"/>
      <name val="Arial"/>
      <family val="2"/>
    </font>
    <font>
      <u/>
      <sz val="10"/>
      <color rgb="FF0000FF"/>
      <name val="Arial"/>
      <family val="2"/>
    </font>
    <font>
      <b/>
      <sz val="10"/>
      <color rgb="FF000000"/>
      <name val="Arial"/>
      <family val="2"/>
    </font>
    <font>
      <sz val="11"/>
      <color theme="5" tint="-0.499984740745262"/>
      <name val="Calibri"/>
      <family val="2"/>
      <scheme val="minor"/>
    </font>
    <font>
      <sz val="10"/>
      <color rgb="FF81160E"/>
      <name val="Arial"/>
      <family val="2"/>
    </font>
    <font>
      <sz val="10"/>
      <color theme="1"/>
      <name val="Arial"/>
      <family val="2"/>
    </font>
    <font>
      <sz val="10"/>
      <color rgb="FF538DD5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  <font>
      <b/>
      <u/>
      <sz val="22"/>
      <color theme="4" tint="-0.499984740745262"/>
      <name val="Arial"/>
      <family val="2"/>
    </font>
    <font>
      <b/>
      <u/>
      <sz val="16"/>
      <color theme="4" tint="-0.499984740745262"/>
      <name val="Arial"/>
      <family val="2"/>
    </font>
    <font>
      <b/>
      <u/>
      <sz val="20"/>
      <color theme="4" tint="-0.499984740745262"/>
      <name val="Arial"/>
      <family val="2"/>
    </font>
    <font>
      <sz val="10"/>
      <color rgb="FF008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8"/>
      <color rgb="FFFFFFFF"/>
      <name val="Arial"/>
      <family val="2"/>
    </font>
    <font>
      <sz val="10"/>
      <color rgb="FFFF0000"/>
      <name val="Arial"/>
      <family val="2"/>
    </font>
    <font>
      <b/>
      <u/>
      <sz val="12"/>
      <color rgb="FF0000FF"/>
      <name val="Arial"/>
      <family val="2"/>
    </font>
    <font>
      <b/>
      <sz val="14"/>
      <color theme="8" tint="0.59999389629810485"/>
      <name val="Arial"/>
      <family val="2"/>
    </font>
    <font>
      <sz val="14"/>
      <color theme="0"/>
      <name val="Arial"/>
      <family val="2"/>
    </font>
    <font>
      <sz val="12"/>
      <color theme="0"/>
      <name val="Arial"/>
      <family val="2"/>
    </font>
    <font>
      <sz val="16"/>
      <color theme="0"/>
      <name val="Arial"/>
      <family val="2"/>
    </font>
    <font>
      <sz val="12"/>
      <color rgb="FF0000FF"/>
      <name val="Arial"/>
      <family val="2"/>
    </font>
    <font>
      <b/>
      <sz val="18"/>
      <color rgb="FFFF000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2"/>
      <color rgb="FF002060"/>
      <name val="Arial"/>
      <family val="2"/>
    </font>
    <font>
      <b/>
      <sz val="11"/>
      <color theme="4" tint="-0.499984740745262"/>
      <name val="Arial"/>
      <family val="2"/>
    </font>
    <font>
      <b/>
      <sz val="14"/>
      <color theme="4" tint="-0.499984740745262"/>
      <name val="Arial"/>
      <family val="2"/>
    </font>
    <font>
      <b/>
      <sz val="16"/>
      <color theme="4" tint="-0.499984740745262"/>
      <name val="Arial"/>
      <family val="2"/>
    </font>
    <font>
      <sz val="8"/>
      <color theme="1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6"/>
      <color rgb="FFFFFFFF"/>
      <name val="Arial"/>
      <family val="2"/>
    </font>
    <font>
      <b/>
      <sz val="12"/>
      <color rgb="FFFFFFFF"/>
      <name val="Arial"/>
      <family val="2"/>
    </font>
    <font>
      <b/>
      <sz val="14"/>
      <color rgb="FFFFFFFF"/>
      <name val="Arial"/>
      <family val="2"/>
    </font>
    <font>
      <sz val="12"/>
      <color rgb="FFFFFFFF"/>
      <name val="Arial"/>
      <family val="2"/>
    </font>
    <font>
      <sz val="12"/>
      <color theme="1"/>
      <name val="Arial"/>
      <family val="2"/>
    </font>
    <font>
      <b/>
      <sz val="16"/>
      <color rgb="FF0000FF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2"/>
      <color rgb="FF16365C"/>
      <name val="Arial"/>
      <family val="2"/>
    </font>
    <font>
      <sz val="10"/>
      <name val="Arial"/>
      <family val="2"/>
    </font>
    <font>
      <b/>
      <u/>
      <sz val="20"/>
      <color rgb="FF000080"/>
      <name val="&quot;Monotype Corsiva&quot;"/>
      <charset val="134"/>
    </font>
    <font>
      <b/>
      <sz val="12"/>
      <color rgb="FF0000FF"/>
      <name val="Arial"/>
      <family val="2"/>
    </font>
    <font>
      <b/>
      <sz val="12"/>
      <color theme="4" tint="-0.499984740745262"/>
      <name val="Arial"/>
      <family val="2"/>
    </font>
    <font>
      <b/>
      <sz val="14"/>
      <color theme="9" tint="-0.499984740745262"/>
      <name val="Arial"/>
      <family val="2"/>
    </font>
    <font>
      <b/>
      <sz val="16"/>
      <color theme="9" tint="-0.499984740745262"/>
      <name val="Arial"/>
      <family val="2"/>
    </font>
    <font>
      <b/>
      <u/>
      <sz val="22"/>
      <color rgb="FF000080"/>
      <name val="Calibri Light"/>
      <family val="2"/>
      <scheme val="major"/>
    </font>
    <font>
      <b/>
      <u/>
      <sz val="12"/>
      <color rgb="FF000080"/>
      <name val="Arial"/>
      <family val="2"/>
    </font>
    <font>
      <b/>
      <u/>
      <sz val="16"/>
      <name val="&quot;Monotype Corsiva&quot;"/>
      <charset val="134"/>
    </font>
    <font>
      <b/>
      <u/>
      <sz val="12"/>
      <color rgb="FFFFFFFF"/>
      <name val="Arial"/>
      <family val="2"/>
    </font>
    <font>
      <b/>
      <sz val="11"/>
      <color rgb="FF000000"/>
      <name val="Arial"/>
      <family val="2"/>
    </font>
    <font>
      <b/>
      <sz val="10"/>
      <name val="Arial"/>
      <family val="2"/>
    </font>
    <font>
      <b/>
      <u/>
      <sz val="11"/>
      <color rgb="FF0000FF"/>
      <name val="Arial"/>
      <family val="2"/>
    </font>
    <font>
      <b/>
      <sz val="12"/>
      <color theme="1"/>
      <name val="Calibri Light"/>
      <family val="2"/>
      <scheme val="major"/>
    </font>
    <font>
      <b/>
      <u/>
      <sz val="16"/>
      <color rgb="FF00008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b/>
      <sz val="11"/>
      <color rgb="FF0F243E"/>
      <name val="Arial"/>
      <family val="2"/>
    </font>
    <font>
      <b/>
      <sz val="18"/>
      <name val="Arial"/>
      <family val="2"/>
    </font>
    <font>
      <b/>
      <sz val="16"/>
      <color rgb="FF0000CC"/>
      <name val="Arial"/>
      <family val="2"/>
    </font>
    <font>
      <b/>
      <sz val="12"/>
      <color rgb="FF000000"/>
      <name val="Arial"/>
      <family val="2"/>
    </font>
    <font>
      <b/>
      <sz val="16"/>
      <color theme="5" tint="-0.249977111117893"/>
      <name val="Arial"/>
      <family val="2"/>
    </font>
    <font>
      <b/>
      <sz val="12"/>
      <color rgb="FFFF3300"/>
      <name val="Arial"/>
      <family val="2"/>
    </font>
    <font>
      <b/>
      <sz val="14"/>
      <color rgb="FFFF3300"/>
      <name val="Arial"/>
      <family val="2"/>
    </font>
    <font>
      <b/>
      <sz val="14"/>
      <color rgb="FF0000CC"/>
      <name val="Arial"/>
      <family val="2"/>
    </font>
    <font>
      <b/>
      <sz val="16"/>
      <color rgb="FFFF0000"/>
      <name val="Arial"/>
      <family val="2"/>
    </font>
    <font>
      <sz val="10"/>
      <color theme="7"/>
      <name val="Arial"/>
      <family val="2"/>
    </font>
    <font>
      <b/>
      <sz val="12"/>
      <color rgb="FF002060"/>
      <name val="Arial"/>
      <family val="2"/>
    </font>
    <font>
      <b/>
      <sz val="11"/>
      <color theme="7"/>
      <name val="Arial"/>
      <family val="2"/>
    </font>
    <font>
      <b/>
      <sz val="11"/>
      <color theme="0"/>
      <name val="Arial"/>
      <family val="2"/>
    </font>
    <font>
      <sz val="15"/>
      <color theme="1"/>
      <name val="Arial"/>
      <family val="2"/>
    </font>
    <font>
      <b/>
      <sz val="15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0"/>
      <color rgb="FF92D050"/>
      <name val="Arial"/>
      <family val="2"/>
    </font>
    <font>
      <sz val="9"/>
      <color rgb="FF000000"/>
      <name val="Arial"/>
      <family val="2"/>
    </font>
    <font>
      <b/>
      <sz val="10"/>
      <color rgb="FF92D050"/>
      <name val="Arial"/>
      <family val="2"/>
    </font>
    <font>
      <sz val="11"/>
      <color rgb="FFFF0000"/>
      <name val="Inconsolata"/>
    </font>
    <font>
      <b/>
      <sz val="10"/>
      <color rgb="FF0000FF"/>
      <name val="Arial"/>
      <family val="2"/>
    </font>
    <font>
      <sz val="10"/>
      <color rgb="FF0000FF"/>
      <name val="Arial"/>
      <family val="2"/>
    </font>
    <font>
      <b/>
      <u/>
      <sz val="10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4"/>
      <color theme="1"/>
      <name val="Arial"/>
      <family val="2"/>
    </font>
    <font>
      <b/>
      <u/>
      <sz val="18"/>
      <color theme="1"/>
      <name val="Arial"/>
      <family val="2"/>
    </font>
    <font>
      <b/>
      <sz val="14"/>
      <color rgb="FF800000"/>
      <name val="Arial"/>
      <family val="2"/>
    </font>
    <font>
      <b/>
      <sz val="14"/>
      <color rgb="FF000000"/>
      <name val="Arial"/>
      <family val="2"/>
    </font>
    <font>
      <b/>
      <sz val="12"/>
      <color rgb="FF800000"/>
      <name val="Arial"/>
      <family val="2"/>
    </font>
    <font>
      <b/>
      <u/>
      <sz val="12"/>
      <color rgb="FF800000"/>
      <name val="Arial"/>
      <family val="2"/>
    </font>
    <font>
      <sz val="20"/>
      <color theme="1"/>
      <name val="Arial"/>
      <family val="2"/>
    </font>
    <font>
      <b/>
      <sz val="10"/>
      <color rgb="FF339966"/>
      <name val="Arial"/>
      <family val="2"/>
    </font>
    <font>
      <b/>
      <sz val="10"/>
      <color theme="4" tint="-0.499984740745262"/>
      <name val="Arial"/>
      <family val="2"/>
    </font>
    <font>
      <b/>
      <sz val="9"/>
      <color rgb="FF000000"/>
      <name val="Arial"/>
      <family val="2"/>
    </font>
    <font>
      <b/>
      <u/>
      <sz val="18"/>
      <color rgb="FF000080"/>
      <name val="Calibri Light"/>
      <family val="2"/>
      <scheme val="major"/>
    </font>
    <font>
      <sz val="12"/>
      <color rgb="FF000000"/>
      <name val="Arial"/>
      <family val="2"/>
    </font>
    <font>
      <b/>
      <sz val="14"/>
      <color rgb="FF0000FF"/>
      <name val="Arial"/>
      <family val="2"/>
    </font>
    <font>
      <b/>
      <sz val="10"/>
      <color rgb="FF073763"/>
      <name val="Arial"/>
      <family val="2"/>
    </font>
    <font>
      <b/>
      <sz val="10"/>
      <color rgb="FFFF3300"/>
      <name val="Arial"/>
      <family val="2"/>
    </font>
    <font>
      <b/>
      <sz val="20"/>
      <color rgb="FF00FF00"/>
      <name val="Arial"/>
      <family val="2"/>
    </font>
    <font>
      <sz val="11"/>
      <color rgb="FFFF0000"/>
      <name val="Arial"/>
      <family val="2"/>
    </font>
    <font>
      <b/>
      <sz val="12"/>
      <color rgb="FF990000"/>
      <name val="Arial"/>
      <family val="2"/>
    </font>
    <font>
      <b/>
      <u/>
      <sz val="16"/>
      <color rgb="FF800000"/>
      <name val="Arial"/>
      <family val="2"/>
    </font>
    <font>
      <b/>
      <sz val="11"/>
      <color rgb="FF800000"/>
      <name val="Arial"/>
      <family val="2"/>
    </font>
    <font>
      <sz val="14"/>
      <color rgb="FF000000"/>
      <name val="Arial"/>
      <family val="2"/>
    </font>
    <font>
      <b/>
      <u/>
      <sz val="18"/>
      <color rgb="FF000080"/>
      <name val="Calibri"/>
      <family val="2"/>
      <scheme val="minor"/>
    </font>
    <font>
      <b/>
      <u/>
      <sz val="12"/>
      <color rgb="FF000080"/>
      <name val="&quot;Monotype Corsiva&quot;"/>
      <charset val="134"/>
    </font>
    <font>
      <b/>
      <sz val="10"/>
      <color rgb="FF16365C"/>
      <name val="Arial"/>
      <family val="2"/>
    </font>
    <font>
      <b/>
      <u/>
      <sz val="10"/>
      <color rgb="FF000080"/>
      <name val="&quot;Monotype Corsiva&quot;"/>
      <charset val="134"/>
    </font>
    <font>
      <b/>
      <sz val="12"/>
      <color rgb="FF0F243E"/>
      <name val="Arial"/>
      <family val="2"/>
    </font>
    <font>
      <b/>
      <sz val="12"/>
      <color rgb="FF00FF00"/>
      <name val="Arial"/>
      <family val="2"/>
    </font>
    <font>
      <b/>
      <sz val="9"/>
      <color theme="4" tint="-0.499984740745262"/>
      <name val="Arial"/>
      <family val="2"/>
    </font>
    <font>
      <b/>
      <sz val="14"/>
      <color rgb="FF00FF00"/>
      <name val="Arial"/>
      <family val="2"/>
    </font>
    <font>
      <b/>
      <u/>
      <sz val="14"/>
      <color rgb="FF800000"/>
      <name val="Arial"/>
      <family val="2"/>
    </font>
    <font>
      <b/>
      <sz val="12"/>
      <color rgb="FF800080"/>
      <name val="Arial"/>
      <family val="2"/>
    </font>
    <font>
      <u/>
      <sz val="14"/>
      <color theme="10"/>
      <name val="Arial"/>
      <family val="2"/>
    </font>
    <font>
      <u/>
      <sz val="12"/>
      <color rgb="FF0000FF"/>
      <name val="Arial"/>
      <family val="2"/>
    </font>
    <font>
      <b/>
      <sz val="9"/>
      <name val="Tahoma"/>
      <family val="2"/>
    </font>
    <font>
      <sz val="9"/>
      <name val="Tahoma"/>
      <family val="2"/>
    </font>
    <font>
      <b/>
      <sz val="16"/>
      <color rgb="FF002060"/>
      <name val="Arial"/>
      <family val="2"/>
    </font>
    <font>
      <b/>
      <sz val="18"/>
      <color theme="0"/>
      <name val="Arial"/>
      <family val="2"/>
    </font>
    <font>
      <b/>
      <sz val="22"/>
      <color theme="0"/>
      <name val="Arial"/>
      <family val="2"/>
    </font>
    <font>
      <sz val="10"/>
      <color theme="0"/>
      <name val="Arial"/>
      <family val="2"/>
    </font>
    <font>
      <b/>
      <sz val="8"/>
      <color rgb="FF000000"/>
      <name val="Verdana"/>
      <family val="2"/>
    </font>
    <font>
      <b/>
      <sz val="10"/>
      <color theme="0"/>
      <name val="Arial"/>
      <family val="2"/>
    </font>
    <font>
      <b/>
      <sz val="12"/>
      <color theme="0"/>
      <name val="Calibri"/>
      <family val="2"/>
      <scheme val="minor"/>
    </font>
    <font>
      <sz val="12"/>
      <name val="Arial"/>
      <family val="2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4"/>
      <name val="Arial"/>
      <family val="2"/>
    </font>
    <font>
      <b/>
      <sz val="18"/>
      <color rgb="FFFFFF00"/>
      <name val="Arial"/>
      <family val="2"/>
    </font>
    <font>
      <b/>
      <sz val="20"/>
      <color rgb="FFFF000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-0.249977111117893"/>
        <bgColor rgb="FFFF0000"/>
      </patternFill>
    </fill>
    <fill>
      <patternFill patternType="solid">
        <fgColor theme="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00FFFF"/>
        <bgColor rgb="FF00FFFF"/>
      </patternFill>
    </fill>
    <fill>
      <patternFill patternType="solid">
        <fgColor rgb="FFCCFFFF"/>
        <bgColor rgb="FFCCFFFF"/>
      </patternFill>
    </fill>
    <fill>
      <patternFill patternType="solid">
        <fgColor rgb="FF99CC00"/>
        <bgColor rgb="FF99CC00"/>
      </patternFill>
    </fill>
    <fill>
      <patternFill patternType="solid">
        <fgColor theme="5" tint="0.39994506668294322"/>
        <bgColor rgb="FFFFFF00"/>
      </patternFill>
    </fill>
    <fill>
      <patternFill patternType="solid">
        <fgColor theme="5" tint="0.39994506668294322"/>
        <bgColor rgb="FF92D050"/>
      </patternFill>
    </fill>
    <fill>
      <patternFill patternType="solid">
        <fgColor rgb="FFFF6600"/>
        <bgColor rgb="FFFF66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99FF99"/>
        <bgColor rgb="FF99FF9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FF99"/>
        <bgColor rgb="FF66FF99"/>
      </patternFill>
    </fill>
    <fill>
      <patternFill patternType="solid">
        <fgColor rgb="FF00FF00"/>
        <bgColor indexed="64"/>
      </patternFill>
    </fill>
    <fill>
      <patternFill patternType="solid">
        <fgColor rgb="FFFF66FF"/>
        <bgColor rgb="FFD9D9D9"/>
      </patternFill>
    </fill>
    <fill>
      <patternFill patternType="solid">
        <fgColor rgb="FFFF66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9DAF8"/>
        <bgColor rgb="FFC9DAF8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C9DAF8"/>
      </patternFill>
    </fill>
    <fill>
      <patternFill patternType="solid">
        <fgColor rgb="FFEAD1DC"/>
        <bgColor rgb="FFEAD1DC"/>
      </patternFill>
    </fill>
    <fill>
      <patternFill patternType="solid">
        <fgColor rgb="FFCCFFCC"/>
        <bgColor rgb="FFCCFFCC"/>
      </patternFill>
    </fill>
    <fill>
      <patternFill patternType="solid">
        <fgColor rgb="FFFF66FF"/>
        <bgColor rgb="FF00FF00"/>
      </patternFill>
    </fill>
    <fill>
      <patternFill patternType="solid">
        <fgColor rgb="FF06EAEA"/>
        <bgColor rgb="FF06EAEA"/>
      </patternFill>
    </fill>
    <fill>
      <patternFill patternType="solid">
        <fgColor rgb="FF00FF00"/>
        <bgColor rgb="FFFFFFFF"/>
      </patternFill>
    </fill>
    <fill>
      <patternFill patternType="solid">
        <fgColor rgb="FF95B3D7"/>
        <bgColor rgb="FF95B3D7"/>
      </patternFill>
    </fill>
    <fill>
      <patternFill patternType="solid">
        <fgColor rgb="FF8DB4E2"/>
        <bgColor rgb="FF8DB4E2"/>
      </patternFill>
    </fill>
    <fill>
      <patternFill patternType="solid">
        <fgColor theme="5" tint="0.59999389629810485"/>
        <bgColor rgb="FF8DB4E2"/>
      </patternFill>
    </fill>
    <fill>
      <patternFill patternType="solid">
        <fgColor rgb="FFC4BD97"/>
        <bgColor rgb="FFC4BD97"/>
      </patternFill>
    </fill>
    <fill>
      <patternFill patternType="solid">
        <fgColor rgb="FFC4D79B"/>
        <bgColor rgb="FFC4D79B"/>
      </patternFill>
    </fill>
    <fill>
      <patternFill patternType="solid">
        <fgColor theme="1"/>
        <bgColor rgb="FFFFFFFF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00FF00"/>
        <bgColor rgb="FF66FF99"/>
      </patternFill>
    </fill>
    <fill>
      <patternFill patternType="solid">
        <fgColor rgb="FF00FF00"/>
        <bgColor rgb="FFD9D9D9"/>
      </patternFill>
    </fill>
    <fill>
      <patternFill patternType="solid">
        <fgColor rgb="FF00FF00"/>
        <bgColor rgb="FF00FFFF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66FF66"/>
        <bgColor rgb="FF66FF66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rgb="FFD9D9D9"/>
      </patternFill>
    </fill>
    <fill>
      <patternFill patternType="solid">
        <fgColor theme="8" tint="0.59999389629810485"/>
        <bgColor rgb="FF99FF99"/>
      </patternFill>
    </fill>
    <fill>
      <patternFill patternType="solid">
        <fgColor theme="1"/>
        <bgColor rgb="FFFF0000"/>
      </patternFill>
    </fill>
    <fill>
      <patternFill patternType="solid">
        <fgColor theme="0"/>
        <bgColor indexed="64"/>
      </patternFill>
    </fill>
  </fills>
  <borders count="12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 style="thin">
        <color rgb="FF0000FF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 style="thin">
        <color rgb="FFFFFF00"/>
      </top>
      <bottom/>
      <diagonal/>
    </border>
    <border>
      <left style="thin">
        <color rgb="FF00FF00"/>
      </left>
      <right/>
      <top style="thin">
        <color rgb="FF00FF00"/>
      </top>
      <bottom/>
      <diagonal/>
    </border>
    <border>
      <left/>
      <right/>
      <top style="thin">
        <color rgb="FF00FF00"/>
      </top>
      <bottom/>
      <diagonal/>
    </border>
    <border>
      <left style="thin">
        <color rgb="FF00FF00"/>
      </left>
      <right/>
      <top/>
      <bottom/>
      <diagonal/>
    </border>
    <border>
      <left/>
      <right style="thin">
        <color rgb="FF00FF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rgb="FF00FF00"/>
      </right>
      <top/>
      <bottom/>
      <diagonal/>
    </border>
    <border>
      <left style="thick">
        <color rgb="FF00FF00"/>
      </left>
      <right/>
      <top/>
      <bottom/>
      <diagonal/>
    </border>
    <border>
      <left style="thick">
        <color theme="5" tint="-0.24994659260841701"/>
      </left>
      <right/>
      <top style="thick">
        <color theme="5" tint="-0.24994659260841701"/>
      </top>
      <bottom/>
      <diagonal/>
    </border>
    <border>
      <left/>
      <right/>
      <top style="thick">
        <color theme="5" tint="-0.24994659260841701"/>
      </top>
      <bottom/>
      <diagonal/>
    </border>
    <border>
      <left style="thin">
        <color rgb="FF000000"/>
      </left>
      <right style="thick">
        <color theme="5" tint="-0.24994659260841701"/>
      </right>
      <top style="thick">
        <color theme="5" tint="-0.24994659260841701"/>
      </top>
      <bottom style="thin">
        <color rgb="FF000000"/>
      </bottom>
      <diagonal/>
    </border>
    <border>
      <left style="thick">
        <color theme="5" tint="-0.24994659260841701"/>
      </left>
      <right/>
      <top style="thin">
        <color rgb="FF000000"/>
      </top>
      <bottom style="thin">
        <color rgb="FF000000"/>
      </bottom>
      <diagonal/>
    </border>
    <border>
      <left style="thin">
        <color rgb="FFFF0000"/>
      </left>
      <right style="thick">
        <color theme="5" tint="-0.24994659260841701"/>
      </right>
      <top/>
      <bottom style="thin">
        <color rgb="FFFF0000"/>
      </bottom>
      <diagonal/>
    </border>
    <border>
      <left style="thick">
        <color theme="5" tint="-0.24994659260841701"/>
      </left>
      <right/>
      <top/>
      <bottom/>
      <diagonal/>
    </border>
    <border>
      <left/>
      <right style="thick">
        <color theme="5" tint="-0.2499465926084170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ck">
        <color theme="5" tint="-0.499984740745262"/>
      </right>
      <top/>
      <bottom/>
      <diagonal/>
    </border>
    <border>
      <left/>
      <right/>
      <top style="double">
        <color rgb="FF00FF00"/>
      </top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/>
      <right style="double">
        <color rgb="FF00FF00"/>
      </right>
      <top/>
      <bottom/>
      <diagonal/>
    </border>
    <border>
      <left style="thick">
        <color theme="5" tint="-0.24994659260841701"/>
      </left>
      <right/>
      <top/>
      <bottom style="thin">
        <color rgb="FF000000"/>
      </bottom>
      <diagonal/>
    </border>
    <border>
      <left/>
      <right style="thick">
        <color theme="5" tint="-0.499984740745262"/>
      </right>
      <top style="thin">
        <color rgb="FF000000"/>
      </top>
      <bottom style="thin">
        <color rgb="FF000000"/>
      </bottom>
      <diagonal/>
    </border>
    <border>
      <left/>
      <right style="double">
        <color rgb="FF00FF00"/>
      </right>
      <top style="double">
        <color rgb="FF00FF00"/>
      </top>
      <bottom/>
      <diagonal/>
    </border>
    <border>
      <left/>
      <right/>
      <top style="thick">
        <color rgb="FF00FF00"/>
      </top>
      <bottom/>
      <diagonal/>
    </border>
    <border>
      <left style="thick">
        <color theme="5" tint="-0.24994659260841701"/>
      </left>
      <right/>
      <top/>
      <bottom style="thick">
        <color theme="5" tint="-0.24994659260841701"/>
      </bottom>
      <diagonal/>
    </border>
    <border>
      <left/>
      <right/>
      <top/>
      <bottom style="thick">
        <color theme="5" tint="-0.24994659260841701"/>
      </bottom>
      <diagonal/>
    </border>
    <border>
      <left/>
      <right style="thick">
        <color theme="5" tint="-0.24994659260841701"/>
      </right>
      <top/>
      <bottom style="thick">
        <color theme="5" tint="-0.24994659260841701"/>
      </bottom>
      <diagonal/>
    </border>
    <border>
      <left/>
      <right/>
      <top/>
      <bottom style="thick">
        <color rgb="FF00FF00"/>
      </bottom>
      <diagonal/>
    </border>
    <border>
      <left style="thin">
        <color rgb="FF000000"/>
      </left>
      <right/>
      <top/>
      <bottom/>
      <diagonal/>
    </border>
    <border>
      <left style="thin">
        <color rgb="FF666666"/>
      </left>
      <right/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000000"/>
      </left>
      <right/>
      <top style="thin">
        <color rgb="FF666666"/>
      </top>
      <bottom/>
      <diagonal/>
    </border>
    <border>
      <left style="thin">
        <color auto="1"/>
      </left>
      <right style="thin">
        <color auto="1"/>
      </right>
      <top style="medium">
        <color rgb="FF00B050"/>
      </top>
      <bottom style="medium">
        <color rgb="FF00B050"/>
      </bottom>
      <diagonal/>
    </border>
    <border>
      <left style="thin">
        <color rgb="FF666666"/>
      </left>
      <right/>
      <top/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rgb="FF000000"/>
      </left>
      <right/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/>
      <right style="thin">
        <color rgb="FF000000"/>
      </right>
      <top style="medium">
        <color rgb="FF1F497D"/>
      </top>
      <bottom style="thin">
        <color rgb="FF000000"/>
      </bottom>
      <diagonal/>
    </border>
    <border>
      <left/>
      <right style="medium">
        <color rgb="FF1F497D"/>
      </right>
      <top style="medium">
        <color rgb="FF1F497D"/>
      </top>
      <bottom style="thin">
        <color rgb="FF000000"/>
      </bottom>
      <diagonal/>
    </border>
    <border>
      <left style="medium">
        <color rgb="FF1F497D"/>
      </left>
      <right style="thin">
        <color rgb="FF000000"/>
      </right>
      <top/>
      <bottom style="medium">
        <color rgb="FF1F497D"/>
      </bottom>
      <diagonal/>
    </border>
    <border>
      <left/>
      <right style="medium">
        <color rgb="FF1F497D"/>
      </right>
      <top/>
      <bottom style="medium">
        <color rgb="FF1F497D"/>
      </bottom>
      <diagonal/>
    </border>
    <border>
      <left style="medium">
        <color rgb="FFE06666"/>
      </left>
      <right style="thin">
        <color rgb="FF000000"/>
      </right>
      <top style="medium">
        <color rgb="FFE06666"/>
      </top>
      <bottom style="thin">
        <color rgb="FF000000"/>
      </bottom>
      <diagonal/>
    </border>
    <border>
      <left/>
      <right style="medium">
        <color rgb="FFE06666"/>
      </right>
      <top style="medium">
        <color rgb="FFE06666"/>
      </top>
      <bottom style="thin">
        <color rgb="FF000000"/>
      </bottom>
      <diagonal/>
    </border>
    <border>
      <left style="medium">
        <color rgb="FFE06666"/>
      </left>
      <right style="thin">
        <color rgb="FF000000"/>
      </right>
      <top/>
      <bottom style="medium">
        <color rgb="FFE06666"/>
      </bottom>
      <diagonal/>
    </border>
    <border>
      <left/>
      <right style="medium">
        <color rgb="FFE06666"/>
      </right>
      <top/>
      <bottom style="medium">
        <color rgb="FFE06666"/>
      </bottom>
      <diagonal/>
    </border>
    <border>
      <left style="medium">
        <color rgb="FF6AA84F"/>
      </left>
      <right style="thin">
        <color rgb="FF000000"/>
      </right>
      <top style="medium">
        <color rgb="FF6AA84F"/>
      </top>
      <bottom style="thin">
        <color rgb="FF000000"/>
      </bottom>
      <diagonal/>
    </border>
    <border>
      <left/>
      <right style="medium">
        <color rgb="FF6AA84F"/>
      </right>
      <top style="medium">
        <color rgb="FF6AA84F"/>
      </top>
      <bottom style="thin">
        <color rgb="FF000000"/>
      </bottom>
      <diagonal/>
    </border>
    <border>
      <left style="medium">
        <color rgb="FF6AA84F"/>
      </left>
      <right style="thin">
        <color rgb="FF000000"/>
      </right>
      <top/>
      <bottom style="medium">
        <color rgb="FF6AA84F"/>
      </bottom>
      <diagonal/>
    </border>
    <border>
      <left/>
      <right style="medium">
        <color rgb="FF6AA84F"/>
      </right>
      <top/>
      <bottom style="medium">
        <color rgb="FF6AA84F"/>
      </bottom>
      <diagonal/>
    </border>
    <border>
      <left style="thick">
        <color rgb="FF0000CC"/>
      </left>
      <right style="thin">
        <color rgb="FF000000"/>
      </right>
      <top style="thick">
        <color rgb="FF0000CC"/>
      </top>
      <bottom style="thin">
        <color rgb="FF000000"/>
      </bottom>
      <diagonal/>
    </border>
    <border>
      <left/>
      <right style="thick">
        <color rgb="FF0000CC"/>
      </right>
      <top style="thick">
        <color rgb="FF0000CC"/>
      </top>
      <bottom style="thin">
        <color rgb="FF000000"/>
      </bottom>
      <diagonal/>
    </border>
    <border>
      <left style="thick">
        <color rgb="FF0000CC"/>
      </left>
      <right style="thin">
        <color rgb="FF000000"/>
      </right>
      <top/>
      <bottom style="thin">
        <color rgb="FF000000"/>
      </bottom>
      <diagonal/>
    </border>
    <border>
      <left/>
      <right style="thick">
        <color rgb="FF0000CC"/>
      </right>
      <top/>
      <bottom style="thin">
        <color rgb="FF000000"/>
      </bottom>
      <diagonal/>
    </border>
    <border>
      <left style="thick">
        <color rgb="FF0000CC"/>
      </left>
      <right style="thin">
        <color rgb="FF000000"/>
      </right>
      <top/>
      <bottom style="thick">
        <color rgb="FF0000CC"/>
      </bottom>
      <diagonal/>
    </border>
    <border>
      <left/>
      <right style="thick">
        <color rgb="FF0000CC"/>
      </right>
      <top/>
      <bottom style="thick">
        <color rgb="FF0000CC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00FF00"/>
      </left>
      <right style="double">
        <color rgb="FF00FF00"/>
      </right>
      <top/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uble">
        <color rgb="FF00FF00"/>
      </left>
      <right style="double">
        <color rgb="FF00FF00"/>
      </right>
      <top/>
      <bottom style="double">
        <color rgb="FF00FF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medium">
        <color rgb="FF1F497D"/>
      </left>
      <right style="thin">
        <color rgb="FF000000"/>
      </right>
      <top style="medium">
        <color rgb="FF1F497D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1F497D"/>
      </bottom>
      <diagonal/>
    </border>
    <border>
      <left/>
      <right style="thin">
        <color rgb="FF666666"/>
      </right>
      <top style="thin">
        <color rgb="FF666666"/>
      </top>
      <bottom/>
      <diagonal/>
    </border>
    <border>
      <left/>
      <right style="medium">
        <color rgb="FF1F497D"/>
      </right>
      <top/>
      <bottom/>
      <diagonal/>
    </border>
    <border>
      <left/>
      <right style="thin">
        <color rgb="FF000000"/>
      </right>
      <top style="medium">
        <color rgb="FFE06666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E06666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 style="thin">
        <color rgb="FFFF0000"/>
      </left>
      <right style="thin">
        <color rgb="FF000000"/>
      </right>
      <top style="thin">
        <color rgb="FFFF0000"/>
      </top>
      <bottom/>
      <diagonal/>
    </border>
    <border>
      <left style="thin">
        <color rgb="FFFF0000"/>
      </left>
      <right/>
      <top style="thin">
        <color rgb="FFFF0000"/>
      </top>
      <bottom style="thin">
        <color rgb="FF000000"/>
      </bottom>
      <diagonal/>
    </border>
    <border>
      <left/>
      <right style="thin">
        <color rgb="FF000000"/>
      </right>
      <top style="medium">
        <color rgb="FF6AA84F"/>
      </top>
      <bottom style="thin">
        <color rgb="FF000000"/>
      </bottom>
      <diagonal/>
    </border>
    <border>
      <left style="thick">
        <color rgb="FF0000CC"/>
      </left>
      <right/>
      <top/>
      <bottom/>
      <diagonal/>
    </border>
    <border>
      <left style="thin">
        <color rgb="FF000000"/>
      </left>
      <right style="thick">
        <color rgb="FF0000CC"/>
      </right>
      <top/>
      <bottom/>
      <diagonal/>
    </border>
    <border>
      <left style="thick">
        <color rgb="FF0000CC"/>
      </left>
      <right/>
      <top style="thin">
        <color rgb="FF000000"/>
      </top>
      <bottom/>
      <diagonal/>
    </border>
    <border>
      <left style="thin">
        <color rgb="FF000000"/>
      </left>
      <right style="thick">
        <color rgb="FF0000CC"/>
      </right>
      <top style="thin">
        <color rgb="FF000000"/>
      </top>
      <bottom/>
      <diagonal/>
    </border>
    <border>
      <left style="thick">
        <color rgb="FF0000CC"/>
      </left>
      <right/>
      <top style="thin">
        <color rgb="FF000000"/>
      </top>
      <bottom style="thick">
        <color rgb="FF0000CC"/>
      </bottom>
      <diagonal/>
    </border>
    <border>
      <left style="thin">
        <color rgb="FF000000"/>
      </left>
      <right style="thick">
        <color rgb="FF0000CC"/>
      </right>
      <top style="thin">
        <color rgb="FF000000"/>
      </top>
      <bottom style="thick">
        <color rgb="FF0000CC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/>
      <top style="thin">
        <color rgb="FF666666"/>
      </top>
      <bottom/>
      <diagonal/>
    </border>
    <border>
      <left style="medium">
        <color rgb="FFAAAAAA"/>
      </left>
      <right style="medium">
        <color rgb="FF000000"/>
      </right>
      <top style="medium">
        <color rgb="FFAAAAAA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901">
    <xf numFmtId="0" fontId="0" fillId="0" borderId="0" xfId="0"/>
    <xf numFmtId="0" fontId="3" fillId="0" borderId="5" xfId="0" applyFont="1" applyBorder="1"/>
    <xf numFmtId="0" fontId="8" fillId="4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4" fontId="8" fillId="4" borderId="5" xfId="0" applyNumberFormat="1" applyFont="1" applyFill="1" applyBorder="1" applyAlignment="1">
      <alignment horizontal="center" vertical="center" wrapText="1"/>
    </xf>
    <xf numFmtId="164" fontId="8" fillId="5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0" fillId="5" borderId="5" xfId="0" applyFont="1" applyFill="1" applyBorder="1" applyAlignment="1">
      <alignment horizontal="right"/>
    </xf>
    <xf numFmtId="1" fontId="10" fillId="0" borderId="5" xfId="0" applyNumberFormat="1" applyFont="1" applyBorder="1" applyAlignment="1">
      <alignment horizontal="right"/>
    </xf>
    <xf numFmtId="1" fontId="11" fillId="0" borderId="5" xfId="0" applyNumberFormat="1" applyFont="1" applyBorder="1" applyAlignment="1">
      <alignment horizontal="right"/>
    </xf>
    <xf numFmtId="0" fontId="8" fillId="4" borderId="5" xfId="0" applyFont="1" applyFill="1" applyBorder="1" applyAlignment="1">
      <alignment horizontal="center" vertical="center" wrapText="1" shrinkToFit="1"/>
    </xf>
    <xf numFmtId="2" fontId="8" fillId="4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/>
    <xf numFmtId="0" fontId="5" fillId="0" borderId="5" xfId="0" applyFont="1" applyBorder="1"/>
    <xf numFmtId="0" fontId="3" fillId="2" borderId="5" xfId="0" applyFont="1" applyFill="1" applyBorder="1"/>
    <xf numFmtId="0" fontId="6" fillId="0" borderId="5" xfId="0" applyFont="1" applyBorder="1" applyAlignment="1">
      <alignment horizontal="left"/>
    </xf>
    <xf numFmtId="0" fontId="7" fillId="3" borderId="5" xfId="0" applyFont="1" applyFill="1" applyBorder="1"/>
    <xf numFmtId="0" fontId="9" fillId="0" borderId="5" xfId="0" applyFont="1" applyBorder="1" applyAlignment="1">
      <alignment vertical="center" wrapText="1"/>
    </xf>
    <xf numFmtId="2" fontId="12" fillId="0" borderId="0" xfId="0" applyNumberFormat="1" applyFont="1" applyProtection="1">
      <protection locked="0"/>
    </xf>
    <xf numFmtId="2" fontId="12" fillId="6" borderId="0" xfId="0" applyNumberFormat="1" applyFont="1" applyFill="1"/>
    <xf numFmtId="2" fontId="13" fillId="6" borderId="0" xfId="0" applyNumberFormat="1" applyFont="1" applyFill="1" applyAlignment="1">
      <alignment horizontal="center"/>
    </xf>
    <xf numFmtId="17" fontId="14" fillId="6" borderId="0" xfId="0" applyNumberFormat="1" applyFont="1" applyFill="1" applyAlignment="1">
      <alignment horizontal="center"/>
    </xf>
    <xf numFmtId="10" fontId="13" fillId="6" borderId="0" xfId="2" applyNumberFormat="1" applyFont="1" applyFill="1" applyAlignment="1">
      <alignment horizontal="center"/>
    </xf>
    <xf numFmtId="2" fontId="15" fillId="7" borderId="4" xfId="0" applyNumberFormat="1" applyFont="1" applyFill="1" applyBorder="1" applyAlignment="1">
      <alignment horizontal="left"/>
    </xf>
    <xf numFmtId="2" fontId="17" fillId="7" borderId="4" xfId="0" applyNumberFormat="1" applyFont="1" applyFill="1" applyBorder="1" applyAlignment="1">
      <alignment horizontal="left"/>
    </xf>
    <xf numFmtId="2" fontId="18" fillId="0" borderId="4" xfId="0" applyNumberFormat="1" applyFont="1" applyBorder="1" applyAlignment="1">
      <alignment horizontal="left"/>
    </xf>
    <xf numFmtId="2" fontId="10" fillId="8" borderId="4" xfId="0" applyNumberFormat="1" applyFont="1" applyFill="1" applyBorder="1" applyAlignment="1">
      <alignment horizontal="left"/>
    </xf>
    <xf numFmtId="2" fontId="10" fillId="8" borderId="2" xfId="0" applyNumberFormat="1" applyFont="1" applyFill="1" applyBorder="1" applyAlignment="1">
      <alignment horizontal="left"/>
    </xf>
    <xf numFmtId="2" fontId="10" fillId="8" borderId="0" xfId="0" applyNumberFormat="1" applyFont="1" applyFill="1" applyAlignment="1">
      <alignment horizontal="left"/>
    </xf>
    <xf numFmtId="9" fontId="10" fillId="0" borderId="0" xfId="2" applyFont="1" applyAlignment="1"/>
    <xf numFmtId="2" fontId="10" fillId="0" borderId="0" xfId="0" applyNumberFormat="1" applyFont="1"/>
    <xf numFmtId="2" fontId="19" fillId="9" borderId="0" xfId="0" applyNumberFormat="1" applyFont="1" applyFill="1" applyAlignment="1">
      <alignment vertical="center"/>
    </xf>
    <xf numFmtId="2" fontId="20" fillId="9" borderId="0" xfId="0" applyNumberFormat="1" applyFont="1" applyFill="1" applyAlignment="1">
      <alignment vertical="center"/>
    </xf>
    <xf numFmtId="2" fontId="21" fillId="9" borderId="0" xfId="0" applyNumberFormat="1" applyFont="1" applyFill="1" applyAlignment="1">
      <alignment vertical="center"/>
    </xf>
    <xf numFmtId="2" fontId="21" fillId="0" borderId="0" xfId="0" applyNumberFormat="1" applyFont="1" applyAlignment="1">
      <alignment vertical="center"/>
    </xf>
    <xf numFmtId="2" fontId="24" fillId="0" borderId="0" xfId="0" applyNumberFormat="1" applyFont="1"/>
    <xf numFmtId="2" fontId="0" fillId="0" borderId="0" xfId="0" applyNumberFormat="1"/>
    <xf numFmtId="1" fontId="12" fillId="0" borderId="0" xfId="0" applyNumberFormat="1" applyFont="1" applyAlignment="1">
      <alignment horizontal="right"/>
    </xf>
    <xf numFmtId="1" fontId="12" fillId="0" borderId="0" xfId="0" applyNumberFormat="1" applyFont="1"/>
    <xf numFmtId="2" fontId="25" fillId="11" borderId="0" xfId="0" applyNumberFormat="1" applyFont="1" applyFill="1" applyAlignment="1" applyProtection="1">
      <alignment vertical="center"/>
      <protection locked="0"/>
    </xf>
    <xf numFmtId="2" fontId="26" fillId="11" borderId="0" xfId="0" applyNumberFormat="1" applyFont="1" applyFill="1" applyAlignment="1">
      <alignment vertical="center"/>
    </xf>
    <xf numFmtId="2" fontId="27" fillId="11" borderId="0" xfId="0" applyNumberFormat="1" applyFont="1" applyFill="1" applyAlignment="1">
      <alignment vertical="center"/>
    </xf>
    <xf numFmtId="3" fontId="26" fillId="11" borderId="0" xfId="0" applyNumberFormat="1" applyFont="1" applyFill="1" applyAlignment="1">
      <alignment vertical="center"/>
    </xf>
    <xf numFmtId="165" fontId="28" fillId="11" borderId="0" xfId="1" applyNumberFormat="1" applyFont="1" applyFill="1" applyAlignment="1">
      <alignment vertical="center"/>
    </xf>
    <xf numFmtId="2" fontId="27" fillId="11" borderId="0" xfId="0" applyNumberFormat="1" applyFont="1" applyFill="1"/>
    <xf numFmtId="2" fontId="10" fillId="12" borderId="0" xfId="0" applyNumberFormat="1" applyFont="1" applyFill="1"/>
    <xf numFmtId="2" fontId="14" fillId="13" borderId="0" xfId="0" applyNumberFormat="1" applyFont="1" applyFill="1" applyProtection="1">
      <protection locked="0"/>
    </xf>
    <xf numFmtId="165" fontId="30" fillId="13" borderId="0" xfId="1" applyNumberFormat="1" applyFont="1" applyFill="1" applyAlignment="1" applyProtection="1">
      <alignment horizontal="center"/>
      <protection locked="0"/>
    </xf>
    <xf numFmtId="2" fontId="3" fillId="0" borderId="0" xfId="0" applyNumberFormat="1" applyFont="1"/>
    <xf numFmtId="9" fontId="14" fillId="0" borderId="0" xfId="2" applyFont="1" applyAlignment="1" applyProtection="1">
      <protection locked="0"/>
    </xf>
    <xf numFmtId="2" fontId="30" fillId="0" borderId="0" xfId="0" applyNumberFormat="1" applyFont="1"/>
    <xf numFmtId="2" fontId="14" fillId="0" borderId="0" xfId="0" applyNumberFormat="1" applyFont="1"/>
    <xf numFmtId="2" fontId="19" fillId="0" borderId="0" xfId="0" applyNumberFormat="1" applyFont="1"/>
    <xf numFmtId="2" fontId="20" fillId="0" borderId="0" xfId="0" applyNumberFormat="1" applyFont="1"/>
    <xf numFmtId="2" fontId="31" fillId="11" borderId="0" xfId="0" applyNumberFormat="1" applyFont="1" applyFill="1"/>
    <xf numFmtId="166" fontId="32" fillId="11" borderId="0" xfId="2" applyNumberFormat="1" applyFont="1" applyFill="1" applyAlignment="1"/>
    <xf numFmtId="2" fontId="33" fillId="0" borderId="0" xfId="0" applyNumberFormat="1" applyFont="1"/>
    <xf numFmtId="2" fontId="20" fillId="14" borderId="0" xfId="0" applyNumberFormat="1" applyFont="1" applyFill="1"/>
    <xf numFmtId="2" fontId="12" fillId="14" borderId="0" xfId="0" applyNumberFormat="1" applyFont="1" applyFill="1"/>
    <xf numFmtId="2" fontId="3" fillId="0" borderId="0" xfId="0" applyNumberFormat="1" applyFont="1" applyProtection="1">
      <protection locked="0"/>
    </xf>
    <xf numFmtId="10" fontId="34" fillId="15" borderId="0" xfId="2" applyNumberFormat="1" applyFont="1" applyFill="1" applyAlignment="1"/>
    <xf numFmtId="166" fontId="35" fillId="15" borderId="0" xfId="2" applyNumberFormat="1" applyFont="1" applyFill="1" applyAlignment="1"/>
    <xf numFmtId="2" fontId="10" fillId="14" borderId="0" xfId="0" applyNumberFormat="1" applyFont="1" applyFill="1"/>
    <xf numFmtId="2" fontId="19" fillId="5" borderId="0" xfId="0" applyNumberFormat="1" applyFont="1" applyFill="1"/>
    <xf numFmtId="166" fontId="36" fillId="5" borderId="0" xfId="2" applyNumberFormat="1" applyFont="1" applyFill="1" applyAlignment="1"/>
    <xf numFmtId="2" fontId="20" fillId="5" borderId="0" xfId="0" applyNumberFormat="1" applyFont="1" applyFill="1"/>
    <xf numFmtId="10" fontId="10" fillId="0" borderId="0" xfId="2" applyNumberFormat="1" applyFont="1" applyAlignment="1"/>
    <xf numFmtId="2" fontId="3" fillId="16" borderId="0" xfId="0" applyNumberFormat="1" applyFont="1" applyFill="1"/>
    <xf numFmtId="2" fontId="10" fillId="16" borderId="0" xfId="0" applyNumberFormat="1" applyFont="1" applyFill="1"/>
    <xf numFmtId="9" fontId="7" fillId="0" borderId="0" xfId="2" applyFont="1" applyFill="1" applyBorder="1" applyAlignment="1">
      <alignment horizontal="right"/>
    </xf>
    <xf numFmtId="1" fontId="13" fillId="0" borderId="0" xfId="0" applyNumberFormat="1" applyFont="1" applyAlignment="1">
      <alignment horizontal="center"/>
    </xf>
    <xf numFmtId="0" fontId="1" fillId="0" borderId="0" xfId="0" applyFont="1" applyAlignment="1">
      <alignment vertical="center"/>
    </xf>
    <xf numFmtId="2" fontId="3" fillId="17" borderId="9" xfId="0" applyNumberFormat="1" applyFont="1" applyFill="1" applyBorder="1" applyAlignment="1">
      <alignment horizontal="left"/>
    </xf>
    <xf numFmtId="2" fontId="3" fillId="17" borderId="10" xfId="0" applyNumberFormat="1" applyFont="1" applyFill="1" applyBorder="1" applyAlignment="1">
      <alignment horizontal="left"/>
    </xf>
    <xf numFmtId="2" fontId="13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right"/>
    </xf>
    <xf numFmtId="2" fontId="3" fillId="17" borderId="1" xfId="0" applyNumberFormat="1" applyFont="1" applyFill="1" applyBorder="1" applyAlignment="1">
      <alignment horizontal="center"/>
    </xf>
    <xf numFmtId="2" fontId="3" fillId="17" borderId="6" xfId="0" applyNumberFormat="1" applyFont="1" applyFill="1" applyBorder="1" applyAlignment="1">
      <alignment horizontal="center"/>
    </xf>
    <xf numFmtId="2" fontId="7" fillId="0" borderId="0" xfId="0" applyNumberFormat="1" applyFont="1"/>
    <xf numFmtId="2" fontId="12" fillId="0" borderId="11" xfId="0" applyNumberFormat="1" applyFont="1" applyBorder="1" applyAlignment="1">
      <alignment horizontal="center"/>
    </xf>
    <xf numFmtId="2" fontId="10" fillId="0" borderId="8" xfId="0" applyNumberFormat="1" applyFont="1" applyBorder="1"/>
    <xf numFmtId="2" fontId="10" fillId="0" borderId="10" xfId="0" applyNumberFormat="1" applyFont="1" applyBorder="1"/>
    <xf numFmtId="2" fontId="37" fillId="0" borderId="10" xfId="0" applyNumberFormat="1" applyFont="1" applyBorder="1"/>
    <xf numFmtId="2" fontId="21" fillId="0" borderId="10" xfId="0" applyNumberFormat="1" applyFont="1" applyBorder="1"/>
    <xf numFmtId="2" fontId="12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2" fontId="3" fillId="18" borderId="1" xfId="0" applyNumberFormat="1" applyFont="1" applyFill="1" applyBorder="1" applyAlignment="1">
      <alignment horizontal="right"/>
    </xf>
    <xf numFmtId="2" fontId="3" fillId="18" borderId="10" xfId="0" applyNumberFormat="1" applyFont="1" applyFill="1" applyBorder="1" applyAlignment="1">
      <alignment horizontal="right"/>
    </xf>
    <xf numFmtId="9" fontId="7" fillId="19" borderId="9" xfId="2" applyFont="1" applyFill="1" applyBorder="1" applyAlignment="1">
      <alignment horizontal="right"/>
    </xf>
    <xf numFmtId="1" fontId="13" fillId="0" borderId="12" xfId="0" applyNumberFormat="1" applyFont="1" applyBorder="1" applyAlignment="1">
      <alignment horizontal="center"/>
    </xf>
    <xf numFmtId="1" fontId="0" fillId="0" borderId="0" xfId="0" applyNumberFormat="1"/>
    <xf numFmtId="1" fontId="12" fillId="0" borderId="10" xfId="0" applyNumberFormat="1" applyFont="1" applyBorder="1" applyAlignment="1">
      <alignment horizontal="right"/>
    </xf>
    <xf numFmtId="2" fontId="3" fillId="18" borderId="2" xfId="0" applyNumberFormat="1" applyFont="1" applyFill="1" applyBorder="1" applyAlignment="1">
      <alignment horizontal="right"/>
    </xf>
    <xf numFmtId="9" fontId="7" fillId="19" borderId="13" xfId="2" applyFont="1" applyFill="1" applyBorder="1" applyAlignment="1">
      <alignment horizontal="right"/>
    </xf>
    <xf numFmtId="9" fontId="7" fillId="8" borderId="13" xfId="2" applyFont="1" applyFill="1" applyBorder="1" applyAlignment="1">
      <alignment horizontal="right"/>
    </xf>
    <xf numFmtId="2" fontId="12" fillId="0" borderId="0" xfId="0" applyNumberFormat="1" applyFont="1"/>
    <xf numFmtId="167" fontId="3" fillId="0" borderId="0" xfId="0" applyNumberFormat="1" applyFont="1"/>
    <xf numFmtId="2" fontId="38" fillId="8" borderId="14" xfId="0" applyNumberFormat="1" applyFont="1" applyFill="1" applyBorder="1"/>
    <xf numFmtId="2" fontId="38" fillId="8" borderId="15" xfId="0" applyNumberFormat="1" applyFont="1" applyFill="1" applyBorder="1"/>
    <xf numFmtId="2" fontId="39" fillId="8" borderId="15" xfId="0" applyNumberFormat="1" applyFont="1" applyFill="1" applyBorder="1"/>
    <xf numFmtId="2" fontId="22" fillId="8" borderId="16" xfId="0" applyNumberFormat="1" applyFont="1" applyFill="1" applyBorder="1"/>
    <xf numFmtId="2" fontId="38" fillId="0" borderId="0" xfId="0" applyNumberFormat="1" applyFont="1"/>
    <xf numFmtId="2" fontId="12" fillId="16" borderId="0" xfId="0" applyNumberFormat="1" applyFont="1" applyFill="1"/>
    <xf numFmtId="2" fontId="38" fillId="8" borderId="17" xfId="0" applyNumberFormat="1" applyFont="1" applyFill="1" applyBorder="1"/>
    <xf numFmtId="2" fontId="40" fillId="0" borderId="0" xfId="0" applyNumberFormat="1" applyFont="1" applyAlignment="1">
      <alignment horizontal="right"/>
    </xf>
    <xf numFmtId="2" fontId="38" fillId="0" borderId="0" xfId="0" applyNumberFormat="1" applyFont="1" applyAlignment="1">
      <alignment horizontal="center"/>
    </xf>
    <xf numFmtId="2" fontId="41" fillId="8" borderId="18" xfId="0" applyNumberFormat="1" applyFont="1" applyFill="1" applyBorder="1"/>
    <xf numFmtId="2" fontId="42" fillId="0" borderId="0" xfId="0" applyNumberFormat="1" applyFont="1"/>
    <xf numFmtId="2" fontId="41" fillId="8" borderId="0" xfId="0" applyNumberFormat="1" applyFont="1" applyFill="1"/>
    <xf numFmtId="2" fontId="42" fillId="0" borderId="0" xfId="0" applyNumberFormat="1" applyFont="1" applyAlignment="1">
      <alignment horizontal="right"/>
    </xf>
    <xf numFmtId="2" fontId="29" fillId="16" borderId="0" xfId="0" applyNumberFormat="1" applyFont="1" applyFill="1"/>
    <xf numFmtId="2" fontId="29" fillId="0" borderId="0" xfId="0" applyNumberFormat="1" applyFont="1"/>
    <xf numFmtId="2" fontId="39" fillId="8" borderId="17" xfId="0" applyNumberFormat="1" applyFont="1" applyFill="1" applyBorder="1"/>
    <xf numFmtId="2" fontId="43" fillId="8" borderId="18" xfId="0" applyNumberFormat="1" applyFont="1" applyFill="1" applyBorder="1"/>
    <xf numFmtId="2" fontId="43" fillId="8" borderId="0" xfId="0" applyNumberFormat="1" applyFont="1" applyFill="1"/>
    <xf numFmtId="2" fontId="38" fillId="0" borderId="3" xfId="0" applyNumberFormat="1" applyFont="1" applyBorder="1"/>
    <xf numFmtId="2" fontId="40" fillId="0" borderId="19" xfId="0" applyNumberFormat="1" applyFont="1" applyBorder="1" applyAlignment="1">
      <alignment horizontal="right"/>
    </xf>
    <xf numFmtId="2" fontId="10" fillId="3" borderId="0" xfId="0" applyNumberFormat="1" applyFont="1" applyFill="1"/>
    <xf numFmtId="2" fontId="42" fillId="0" borderId="0" xfId="0" applyNumberFormat="1" applyFont="1" applyAlignment="1">
      <alignment horizontal="center"/>
    </xf>
    <xf numFmtId="2" fontId="44" fillId="16" borderId="0" xfId="0" applyNumberFormat="1" applyFont="1" applyFill="1"/>
    <xf numFmtId="2" fontId="44" fillId="0" borderId="0" xfId="0" applyNumberFormat="1" applyFont="1"/>
    <xf numFmtId="2" fontId="10" fillId="8" borderId="20" xfId="0" applyNumberFormat="1" applyFont="1" applyFill="1" applyBorder="1"/>
    <xf numFmtId="2" fontId="10" fillId="8" borderId="21" xfId="0" applyNumberFormat="1" applyFont="1" applyFill="1" applyBorder="1"/>
    <xf numFmtId="2" fontId="3" fillId="8" borderId="21" xfId="0" applyNumberFormat="1" applyFont="1" applyFill="1" applyBorder="1"/>
    <xf numFmtId="2" fontId="10" fillId="8" borderId="22" xfId="0" applyNumberFormat="1" applyFont="1" applyFill="1" applyBorder="1"/>
    <xf numFmtId="2" fontId="43" fillId="0" borderId="23" xfId="0" applyNumberFormat="1" applyFont="1" applyBorder="1"/>
    <xf numFmtId="2" fontId="45" fillId="20" borderId="24" xfId="0" applyNumberFormat="1" applyFont="1" applyFill="1" applyBorder="1"/>
    <xf numFmtId="2" fontId="45" fillId="3" borderId="25" xfId="0" applyNumberFormat="1" applyFont="1" applyFill="1" applyBorder="1"/>
    <xf numFmtId="2" fontId="3" fillId="3" borderId="0" xfId="0" applyNumberFormat="1" applyFont="1" applyFill="1"/>
    <xf numFmtId="2" fontId="3" fillId="3" borderId="27" xfId="0" applyNumberFormat="1" applyFont="1" applyFill="1" applyBorder="1"/>
    <xf numFmtId="2" fontId="43" fillId="0" borderId="0" xfId="0" applyNumberFormat="1" applyFont="1"/>
    <xf numFmtId="2" fontId="10" fillId="16" borderId="26" xfId="0" applyNumberFormat="1" applyFont="1" applyFill="1" applyBorder="1"/>
    <xf numFmtId="168" fontId="46" fillId="0" borderId="0" xfId="0" applyNumberFormat="1" applyFont="1"/>
    <xf numFmtId="169" fontId="10" fillId="0" borderId="0" xfId="0" applyNumberFormat="1" applyFont="1"/>
    <xf numFmtId="2" fontId="10" fillId="0" borderId="27" xfId="0" applyNumberFormat="1" applyFont="1" applyBorder="1"/>
    <xf numFmtId="170" fontId="10" fillId="0" borderId="0" xfId="0" applyNumberFormat="1" applyFont="1"/>
    <xf numFmtId="167" fontId="47" fillId="0" borderId="0" xfId="0" applyNumberFormat="1" applyFont="1"/>
    <xf numFmtId="167" fontId="10" fillId="0" borderId="0" xfId="0" applyNumberFormat="1" applyFont="1"/>
    <xf numFmtId="2" fontId="48" fillId="0" borderId="10" xfId="0" applyNumberFormat="1" applyFont="1" applyBorder="1"/>
    <xf numFmtId="2" fontId="50" fillId="0" borderId="0" xfId="0" applyNumberFormat="1" applyFont="1"/>
    <xf numFmtId="169" fontId="10" fillId="0" borderId="0" xfId="0" applyNumberFormat="1" applyFont="1" applyAlignment="1">
      <alignment horizontal="right"/>
    </xf>
    <xf numFmtId="169" fontId="0" fillId="0" borderId="0" xfId="0" applyNumberFormat="1"/>
    <xf numFmtId="2" fontId="10" fillId="21" borderId="0" xfId="0" applyNumberFormat="1" applyFont="1" applyFill="1"/>
    <xf numFmtId="170" fontId="21" fillId="0" borderId="0" xfId="0" applyNumberFormat="1" applyFont="1" applyAlignment="1">
      <alignment horizontal="right"/>
    </xf>
    <xf numFmtId="2" fontId="21" fillId="0" borderId="0" xfId="0" applyNumberFormat="1" applyFont="1"/>
    <xf numFmtId="171" fontId="10" fillId="0" borderId="0" xfId="0" applyNumberFormat="1" applyFont="1"/>
    <xf numFmtId="2" fontId="47" fillId="22" borderId="0" xfId="0" applyNumberFormat="1" applyFont="1" applyFill="1"/>
    <xf numFmtId="2" fontId="51" fillId="0" borderId="0" xfId="0" applyNumberFormat="1" applyFont="1"/>
    <xf numFmtId="169" fontId="10" fillId="0" borderId="0" xfId="2" applyNumberFormat="1" applyFont="1" applyAlignment="1"/>
    <xf numFmtId="2" fontId="21" fillId="0" borderId="0" xfId="0" applyNumberFormat="1" applyFont="1" applyAlignment="1">
      <alignment horizontal="right"/>
    </xf>
    <xf numFmtId="2" fontId="52" fillId="0" borderId="29" xfId="0" applyNumberFormat="1" applyFont="1" applyBorder="1" applyAlignment="1">
      <alignment vertical="center"/>
    </xf>
    <xf numFmtId="172" fontId="10" fillId="0" borderId="0" xfId="2" applyNumberFormat="1" applyFont="1" applyAlignment="1"/>
    <xf numFmtId="2" fontId="52" fillId="0" borderId="0" xfId="0" applyNumberFormat="1" applyFont="1" applyAlignment="1">
      <alignment horizontal="center"/>
    </xf>
    <xf numFmtId="2" fontId="10" fillId="8" borderId="0" xfId="0" applyNumberFormat="1" applyFont="1" applyFill="1"/>
    <xf numFmtId="2" fontId="52" fillId="0" borderId="30" xfId="0" applyNumberFormat="1" applyFont="1" applyBorder="1" applyAlignment="1">
      <alignment vertical="center"/>
    </xf>
    <xf numFmtId="2" fontId="13" fillId="0" borderId="0" xfId="0" applyNumberFormat="1" applyFont="1" applyAlignment="1">
      <alignment horizontal="left"/>
    </xf>
    <xf numFmtId="166" fontId="52" fillId="0" borderId="0" xfId="2" applyNumberFormat="1" applyFont="1" applyAlignment="1">
      <alignment horizontal="center"/>
    </xf>
    <xf numFmtId="2" fontId="10" fillId="22" borderId="0" xfId="0" applyNumberFormat="1" applyFont="1" applyFill="1"/>
    <xf numFmtId="2" fontId="53" fillId="23" borderId="31" xfId="0" applyNumberFormat="1" applyFont="1" applyFill="1" applyBorder="1"/>
    <xf numFmtId="169" fontId="54" fillId="23" borderId="31" xfId="2" applyNumberFormat="1" applyFont="1" applyFill="1" applyBorder="1" applyAlignment="1"/>
    <xf numFmtId="2" fontId="53" fillId="23" borderId="0" xfId="0" applyNumberFormat="1" applyFont="1" applyFill="1"/>
    <xf numFmtId="169" fontId="54" fillId="23" borderId="0" xfId="2" applyNumberFormat="1" applyFont="1" applyFill="1" applyAlignment="1"/>
    <xf numFmtId="173" fontId="52" fillId="0" borderId="0" xfId="2" applyNumberFormat="1" applyFont="1" applyAlignment="1">
      <alignment horizontal="center"/>
    </xf>
    <xf numFmtId="2" fontId="55" fillId="0" borderId="0" xfId="0" applyNumberFormat="1" applyFont="1"/>
    <xf numFmtId="2" fontId="56" fillId="0" borderId="0" xfId="0" applyNumberFormat="1" applyFont="1"/>
    <xf numFmtId="2" fontId="57" fillId="0" borderId="0" xfId="0" applyNumberFormat="1" applyFont="1"/>
    <xf numFmtId="2" fontId="58" fillId="0" borderId="0" xfId="0" applyNumberFormat="1" applyFont="1"/>
    <xf numFmtId="2" fontId="3" fillId="0" borderId="8" xfId="0" applyNumberFormat="1" applyFont="1" applyBorder="1"/>
    <xf numFmtId="2" fontId="3" fillId="0" borderId="10" xfId="0" applyNumberFormat="1" applyFont="1" applyBorder="1"/>
    <xf numFmtId="2" fontId="3" fillId="0" borderId="28" xfId="0" applyNumberFormat="1" applyFont="1" applyBorder="1"/>
    <xf numFmtId="2" fontId="3" fillId="0" borderId="5" xfId="0" applyNumberFormat="1" applyFont="1" applyBorder="1"/>
    <xf numFmtId="2" fontId="59" fillId="24" borderId="0" xfId="0" applyNumberFormat="1" applyFont="1" applyFill="1"/>
    <xf numFmtId="1" fontId="13" fillId="0" borderId="0" xfId="0" applyNumberFormat="1" applyFont="1"/>
    <xf numFmtId="1" fontId="5" fillId="0" borderId="7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>
      <alignment horizontal="right"/>
    </xf>
    <xf numFmtId="1" fontId="3" fillId="0" borderId="0" xfId="0" applyNumberFormat="1" applyFont="1" applyAlignment="1">
      <alignment horizontal="right"/>
    </xf>
    <xf numFmtId="2" fontId="10" fillId="0" borderId="7" xfId="0" applyNumberFormat="1" applyFont="1" applyBorder="1" applyAlignment="1">
      <alignment horizontal="right"/>
    </xf>
    <xf numFmtId="2" fontId="3" fillId="0" borderId="0" xfId="0" applyNumberFormat="1" applyFont="1" applyAlignment="1">
      <alignment horizontal="right"/>
    </xf>
    <xf numFmtId="2" fontId="3" fillId="0" borderId="5" xfId="0" applyNumberFormat="1" applyFont="1" applyBorder="1" applyAlignment="1">
      <alignment horizontal="center"/>
    </xf>
    <xf numFmtId="1" fontId="46" fillId="24" borderId="0" xfId="0" applyNumberFormat="1" applyFont="1" applyFill="1"/>
    <xf numFmtId="2" fontId="47" fillId="0" borderId="8" xfId="0" applyNumberFormat="1" applyFont="1" applyBorder="1"/>
    <xf numFmtId="2" fontId="10" fillId="0" borderId="28" xfId="0" applyNumberFormat="1" applyFont="1" applyBorder="1"/>
    <xf numFmtId="2" fontId="46" fillId="0" borderId="9" xfId="0" applyNumberFormat="1" applyFont="1" applyBorder="1"/>
    <xf numFmtId="2" fontId="10" fillId="0" borderId="4" xfId="0" applyNumberFormat="1" applyFont="1" applyBorder="1"/>
    <xf numFmtId="1" fontId="60" fillId="0" borderId="32" xfId="0" applyNumberFormat="1" applyFont="1" applyBorder="1" applyProtection="1">
      <protection locked="0"/>
    </xf>
    <xf numFmtId="2" fontId="7" fillId="0" borderId="33" xfId="0" applyNumberFormat="1" applyFont="1" applyBorder="1" applyProtection="1">
      <protection locked="0"/>
    </xf>
    <xf numFmtId="9" fontId="3" fillId="0" borderId="34" xfId="2" applyFont="1" applyBorder="1" applyAlignment="1" applyProtection="1">
      <alignment horizontal="center"/>
      <protection locked="0"/>
    </xf>
    <xf numFmtId="2" fontId="10" fillId="0" borderId="35" xfId="0" applyNumberFormat="1" applyFont="1" applyBorder="1" applyProtection="1">
      <protection locked="0"/>
    </xf>
    <xf numFmtId="2" fontId="10" fillId="0" borderId="0" xfId="0" applyNumberFormat="1" applyFont="1" applyProtection="1">
      <protection locked="0"/>
    </xf>
    <xf numFmtId="2" fontId="61" fillId="0" borderId="0" xfId="0" applyNumberFormat="1" applyFont="1"/>
    <xf numFmtId="17" fontId="62" fillId="0" borderId="36" xfId="0" applyNumberFormat="1" applyFont="1" applyBorder="1" applyAlignment="1" applyProtection="1">
      <alignment horizontal="center"/>
      <protection locked="0"/>
    </xf>
    <xf numFmtId="17" fontId="62" fillId="0" borderId="5" xfId="0" applyNumberFormat="1" applyFont="1" applyBorder="1" applyAlignment="1" applyProtection="1">
      <alignment horizontal="center"/>
      <protection locked="0"/>
    </xf>
    <xf numFmtId="17" fontId="62" fillId="0" borderId="0" xfId="0" applyNumberFormat="1" applyFont="1" applyAlignment="1" applyProtection="1">
      <alignment horizontal="center"/>
      <protection locked="0"/>
    </xf>
    <xf numFmtId="2" fontId="61" fillId="0" borderId="0" xfId="0" applyNumberFormat="1" applyFont="1" applyProtection="1">
      <protection locked="0"/>
    </xf>
    <xf numFmtId="2" fontId="63" fillId="0" borderId="0" xfId="0" applyNumberFormat="1" applyFont="1"/>
    <xf numFmtId="2" fontId="10" fillId="0" borderId="37" xfId="0" applyNumberFormat="1" applyFont="1" applyBorder="1"/>
    <xf numFmtId="2" fontId="0" fillId="0" borderId="38" xfId="0" applyNumberFormat="1" applyBorder="1"/>
    <xf numFmtId="3" fontId="46" fillId="0" borderId="36" xfId="0" applyNumberFormat="1" applyFont="1" applyBorder="1" applyProtection="1">
      <protection locked="0"/>
    </xf>
    <xf numFmtId="3" fontId="46" fillId="0" borderId="5" xfId="0" applyNumberFormat="1" applyFont="1" applyBorder="1" applyProtection="1">
      <protection locked="0"/>
    </xf>
    <xf numFmtId="4" fontId="46" fillId="0" borderId="5" xfId="0" applyNumberFormat="1" applyFont="1" applyBorder="1" applyProtection="1">
      <protection locked="0"/>
    </xf>
    <xf numFmtId="4" fontId="46" fillId="0" borderId="0" xfId="0" applyNumberFormat="1" applyFont="1" applyProtection="1">
      <protection locked="0"/>
    </xf>
    <xf numFmtId="1" fontId="64" fillId="0" borderId="41" xfId="0" applyNumberFormat="1" applyFont="1" applyBorder="1" applyAlignment="1" applyProtection="1">
      <alignment horizontal="center"/>
      <protection locked="0"/>
    </xf>
    <xf numFmtId="2" fontId="56" fillId="0" borderId="37" xfId="0" applyNumberFormat="1" applyFont="1" applyBorder="1"/>
    <xf numFmtId="3" fontId="21" fillId="0" borderId="36" xfId="0" applyNumberFormat="1" applyFont="1" applyBorder="1" applyProtection="1">
      <protection locked="0"/>
    </xf>
    <xf numFmtId="3" fontId="21" fillId="0" borderId="5" xfId="2" applyNumberFormat="1" applyFont="1" applyFill="1" applyBorder="1" applyAlignment="1" applyProtection="1">
      <protection locked="0"/>
    </xf>
    <xf numFmtId="3" fontId="21" fillId="0" borderId="0" xfId="2" applyNumberFormat="1" applyFont="1" applyFill="1" applyBorder="1" applyAlignment="1" applyProtection="1">
      <protection locked="0"/>
    </xf>
    <xf numFmtId="1" fontId="14" fillId="0" borderId="43" xfId="0" applyNumberFormat="1" applyFont="1" applyBorder="1" applyAlignment="1" applyProtection="1">
      <alignment horizontal="center"/>
      <protection locked="0"/>
    </xf>
    <xf numFmtId="2" fontId="21" fillId="0" borderId="36" xfId="0" applyNumberFormat="1" applyFont="1" applyBorder="1" applyProtection="1">
      <protection locked="0"/>
    </xf>
    <xf numFmtId="10" fontId="21" fillId="0" borderId="5" xfId="2" applyNumberFormat="1" applyFont="1" applyFill="1" applyBorder="1" applyAlignment="1" applyProtection="1">
      <protection locked="0"/>
    </xf>
    <xf numFmtId="10" fontId="21" fillId="0" borderId="0" xfId="2" applyNumberFormat="1" applyFont="1" applyFill="1" applyBorder="1" applyAlignment="1" applyProtection="1">
      <protection locked="0"/>
    </xf>
    <xf numFmtId="2" fontId="10" fillId="0" borderId="44" xfId="0" applyNumberFormat="1" applyFont="1" applyBorder="1"/>
    <xf numFmtId="9" fontId="12" fillId="0" borderId="45" xfId="2" applyFont="1" applyBorder="1" applyAlignment="1">
      <alignment horizontal="center"/>
    </xf>
    <xf numFmtId="2" fontId="65" fillId="0" borderId="46" xfId="0" applyNumberFormat="1" applyFont="1" applyBorder="1" applyProtection="1">
      <protection locked="0"/>
    </xf>
    <xf numFmtId="166" fontId="65" fillId="0" borderId="47" xfId="2" applyNumberFormat="1" applyFont="1" applyFill="1" applyBorder="1" applyAlignment="1" applyProtection="1">
      <protection locked="0"/>
    </xf>
    <xf numFmtId="2" fontId="21" fillId="0" borderId="48" xfId="0" applyNumberFormat="1" applyFont="1" applyBorder="1" applyProtection="1">
      <protection locked="0"/>
    </xf>
    <xf numFmtId="1" fontId="13" fillId="25" borderId="49" xfId="0" applyNumberFormat="1" applyFont="1" applyFill="1" applyBorder="1" applyAlignment="1" applyProtection="1">
      <alignment horizontal="center"/>
      <protection locked="0"/>
    </xf>
    <xf numFmtId="2" fontId="12" fillId="3" borderId="50" xfId="0" applyNumberFormat="1" applyFont="1" applyFill="1" applyBorder="1" applyAlignment="1">
      <alignment horizontal="right"/>
    </xf>
    <xf numFmtId="4" fontId="67" fillId="26" borderId="51" xfId="2" applyNumberFormat="1" applyFont="1" applyFill="1" applyBorder="1" applyAlignment="1">
      <alignment horizontal="center"/>
    </xf>
    <xf numFmtId="1" fontId="19" fillId="0" borderId="49" xfId="0" applyNumberFormat="1" applyFont="1" applyBorder="1" applyAlignment="1">
      <alignment horizontal="right"/>
    </xf>
    <xf numFmtId="3" fontId="68" fillId="0" borderId="52" xfId="0" applyNumberFormat="1" applyFont="1" applyBorder="1"/>
    <xf numFmtId="3" fontId="14" fillId="25" borderId="0" xfId="0" applyNumberFormat="1" applyFont="1" applyFill="1" applyAlignment="1" applyProtection="1">
      <alignment horizontal="center"/>
      <protection locked="0"/>
    </xf>
    <xf numFmtId="164" fontId="69" fillId="0" borderId="54" xfId="0" applyNumberFormat="1" applyFont="1" applyBorder="1" applyAlignment="1">
      <alignment horizontal="right"/>
    </xf>
    <xf numFmtId="2" fontId="12" fillId="15" borderId="55" xfId="0" applyNumberFormat="1" applyFont="1" applyFill="1" applyBorder="1" applyAlignment="1">
      <alignment horizontal="right"/>
    </xf>
    <xf numFmtId="2" fontId="13" fillId="0" borderId="56" xfId="0" applyNumberFormat="1" applyFont="1" applyBorder="1"/>
    <xf numFmtId="2" fontId="70" fillId="27" borderId="57" xfId="0" applyNumberFormat="1" applyFont="1" applyFill="1" applyBorder="1"/>
    <xf numFmtId="2" fontId="71" fillId="27" borderId="58" xfId="0" applyNumberFormat="1" applyFont="1" applyFill="1" applyBorder="1"/>
    <xf numFmtId="1" fontId="72" fillId="27" borderId="59" xfId="0" applyNumberFormat="1" applyFont="1" applyFill="1" applyBorder="1" applyProtection="1">
      <protection locked="0"/>
    </xf>
    <xf numFmtId="3" fontId="73" fillId="15" borderId="52" xfId="0" applyNumberFormat="1" applyFont="1" applyFill="1" applyBorder="1"/>
    <xf numFmtId="174" fontId="74" fillId="0" borderId="60" xfId="0" applyNumberFormat="1" applyFont="1" applyBorder="1"/>
    <xf numFmtId="2" fontId="44" fillId="0" borderId="0" xfId="0" applyNumberFormat="1" applyFont="1" applyProtection="1">
      <protection locked="0"/>
    </xf>
    <xf numFmtId="2" fontId="47" fillId="0" borderId="1" xfId="0" applyNumberFormat="1" applyFont="1" applyBorder="1"/>
    <xf numFmtId="2" fontId="47" fillId="0" borderId="6" xfId="0" applyNumberFormat="1" applyFont="1" applyBorder="1"/>
    <xf numFmtId="2" fontId="3" fillId="0" borderId="6" xfId="0" applyNumberFormat="1" applyFont="1" applyBorder="1"/>
    <xf numFmtId="2" fontId="3" fillId="28" borderId="6" xfId="0" applyNumberFormat="1" applyFont="1" applyFill="1" applyBorder="1"/>
    <xf numFmtId="1" fontId="10" fillId="7" borderId="61" xfId="0" applyNumberFormat="1" applyFont="1" applyFill="1" applyBorder="1"/>
    <xf numFmtId="2" fontId="10" fillId="7" borderId="62" xfId="0" applyNumberFormat="1" applyFont="1" applyFill="1" applyBorder="1"/>
    <xf numFmtId="2" fontId="10" fillId="28" borderId="63" xfId="0" applyNumberFormat="1" applyFont="1" applyFill="1" applyBorder="1"/>
    <xf numFmtId="1" fontId="10" fillId="6" borderId="64" xfId="0" applyNumberFormat="1" applyFont="1" applyFill="1" applyBorder="1"/>
    <xf numFmtId="2" fontId="10" fillId="6" borderId="62" xfId="0" applyNumberFormat="1" applyFont="1" applyFill="1" applyBorder="1"/>
    <xf numFmtId="1" fontId="10" fillId="29" borderId="64" xfId="0" applyNumberFormat="1" applyFont="1" applyFill="1" applyBorder="1"/>
    <xf numFmtId="2" fontId="10" fillId="29" borderId="62" xfId="0" applyNumberFormat="1" applyFont="1" applyFill="1" applyBorder="1"/>
    <xf numFmtId="2" fontId="10" fillId="30" borderId="63" xfId="0" applyNumberFormat="1" applyFont="1" applyFill="1" applyBorder="1"/>
    <xf numFmtId="1" fontId="10" fillId="7" borderId="64" xfId="0" applyNumberFormat="1" applyFont="1" applyFill="1" applyBorder="1"/>
    <xf numFmtId="9" fontId="10" fillId="6" borderId="62" xfId="2" applyFont="1" applyFill="1" applyBorder="1"/>
    <xf numFmtId="9" fontId="10" fillId="7" borderId="62" xfId="2" applyFont="1" applyFill="1" applyBorder="1"/>
    <xf numFmtId="2" fontId="75" fillId="8" borderId="63" xfId="0" applyNumberFormat="1" applyFont="1" applyFill="1" applyBorder="1"/>
    <xf numFmtId="2" fontId="75" fillId="28" borderId="63" xfId="0" applyNumberFormat="1" applyFont="1" applyFill="1" applyBorder="1"/>
    <xf numFmtId="9" fontId="13" fillId="7" borderId="62" xfId="0" applyNumberFormat="1" applyFont="1" applyFill="1" applyBorder="1" applyProtection="1">
      <protection locked="0"/>
    </xf>
    <xf numFmtId="2" fontId="44" fillId="0" borderId="65" xfId="0" applyNumberFormat="1" applyFont="1" applyBorder="1"/>
    <xf numFmtId="1" fontId="10" fillId="6" borderId="65" xfId="0" applyNumberFormat="1" applyFont="1" applyFill="1" applyBorder="1"/>
    <xf numFmtId="2" fontId="10" fillId="6" borderId="65" xfId="0" applyNumberFormat="1" applyFont="1" applyFill="1" applyBorder="1"/>
    <xf numFmtId="2" fontId="75" fillId="28" borderId="65" xfId="0" applyNumberFormat="1" applyFont="1" applyFill="1" applyBorder="1"/>
    <xf numFmtId="1" fontId="64" fillId="7" borderId="66" xfId="0" applyNumberFormat="1" applyFont="1" applyFill="1" applyBorder="1" applyProtection="1">
      <protection locked="0"/>
    </xf>
    <xf numFmtId="2" fontId="10" fillId="7" borderId="66" xfId="0" applyNumberFormat="1" applyFont="1" applyFill="1" applyBorder="1"/>
    <xf numFmtId="2" fontId="75" fillId="28" borderId="67" xfId="0" applyNumberFormat="1" applyFont="1" applyFill="1" applyBorder="1"/>
    <xf numFmtId="1" fontId="34" fillId="31" borderId="68" xfId="0" applyNumberFormat="1" applyFont="1" applyFill="1" applyBorder="1" applyAlignment="1">
      <alignment horizontal="right"/>
    </xf>
    <xf numFmtId="1" fontId="64" fillId="31" borderId="68" xfId="0" applyNumberFormat="1" applyFont="1" applyFill="1" applyBorder="1" applyAlignment="1" applyProtection="1">
      <alignment horizontal="right"/>
      <protection locked="0"/>
    </xf>
    <xf numFmtId="2" fontId="76" fillId="31" borderId="68" xfId="0" applyNumberFormat="1" applyFont="1" applyFill="1" applyBorder="1"/>
    <xf numFmtId="2" fontId="76" fillId="32" borderId="5" xfId="0" applyNumberFormat="1" applyFont="1" applyFill="1" applyBorder="1"/>
    <xf numFmtId="2" fontId="76" fillId="31" borderId="5" xfId="0" applyNumberFormat="1" applyFont="1" applyFill="1" applyBorder="1"/>
    <xf numFmtId="1" fontId="10" fillId="6" borderId="61" xfId="0" applyNumberFormat="1" applyFont="1" applyFill="1" applyBorder="1"/>
    <xf numFmtId="1" fontId="10" fillId="6" borderId="66" xfId="0" applyNumberFormat="1" applyFont="1" applyFill="1" applyBorder="1"/>
    <xf numFmtId="2" fontId="10" fillId="6" borderId="66" xfId="0" applyNumberFormat="1" applyFont="1" applyFill="1" applyBorder="1"/>
    <xf numFmtId="2" fontId="13" fillId="7" borderId="62" xfId="0" applyNumberFormat="1" applyFont="1" applyFill="1" applyBorder="1" applyProtection="1">
      <protection locked="0"/>
    </xf>
    <xf numFmtId="2" fontId="46" fillId="6" borderId="62" xfId="0" applyNumberFormat="1" applyFont="1" applyFill="1" applyBorder="1"/>
    <xf numFmtId="2" fontId="77" fillId="28" borderId="63" xfId="0" applyNumberFormat="1" applyFont="1" applyFill="1" applyBorder="1"/>
    <xf numFmtId="1" fontId="64" fillId="7" borderId="62" xfId="0" applyNumberFormat="1" applyFont="1" applyFill="1" applyBorder="1" applyProtection="1">
      <protection locked="0"/>
    </xf>
    <xf numFmtId="1" fontId="64" fillId="6" borderId="62" xfId="0" applyNumberFormat="1" applyFont="1" applyFill="1" applyBorder="1" applyProtection="1">
      <protection locked="0"/>
    </xf>
    <xf numFmtId="2" fontId="3" fillId="0" borderId="68" xfId="0" applyNumberFormat="1" applyFont="1" applyBorder="1" applyAlignment="1">
      <alignment horizontal="right"/>
    </xf>
    <xf numFmtId="1" fontId="13" fillId="0" borderId="68" xfId="0" applyNumberFormat="1" applyFont="1" applyBorder="1" applyAlignment="1">
      <alignment horizontal="right"/>
    </xf>
    <xf numFmtId="2" fontId="78" fillId="11" borderId="68" xfId="0" applyNumberFormat="1" applyFont="1" applyFill="1" applyBorder="1" applyAlignment="1">
      <alignment horizontal="right"/>
    </xf>
    <xf numFmtId="2" fontId="46" fillId="0" borderId="68" xfId="0" applyNumberFormat="1" applyFont="1" applyBorder="1" applyAlignment="1">
      <alignment horizontal="left"/>
    </xf>
    <xf numFmtId="2" fontId="46" fillId="7" borderId="62" xfId="0" applyNumberFormat="1" applyFont="1" applyFill="1" applyBorder="1"/>
    <xf numFmtId="2" fontId="46" fillId="28" borderId="63" xfId="0" applyNumberFormat="1" applyFont="1" applyFill="1" applyBorder="1"/>
    <xf numFmtId="2" fontId="13" fillId="6" borderId="62" xfId="0" applyNumberFormat="1" applyFont="1" applyFill="1" applyBorder="1" applyProtection="1">
      <protection locked="0"/>
    </xf>
    <xf numFmtId="9" fontId="10" fillId="7" borderId="62" xfId="2" applyFont="1" applyFill="1" applyBorder="1" applyAlignment="1">
      <alignment horizontal="right"/>
    </xf>
    <xf numFmtId="10" fontId="10" fillId="7" borderId="62" xfId="0" applyNumberFormat="1" applyFont="1" applyFill="1" applyBorder="1" applyAlignment="1">
      <alignment horizontal="right"/>
    </xf>
    <xf numFmtId="9" fontId="64" fillId="7" borderId="62" xfId="0" applyNumberFormat="1" applyFont="1" applyFill="1" applyBorder="1" applyProtection="1">
      <protection locked="0"/>
    </xf>
    <xf numFmtId="2" fontId="10" fillId="6" borderId="64" xfId="0" applyNumberFormat="1" applyFont="1" applyFill="1" applyBorder="1"/>
    <xf numFmtId="2" fontId="10" fillId="7" borderId="69" xfId="0" applyNumberFormat="1" applyFont="1" applyFill="1" applyBorder="1"/>
    <xf numFmtId="2" fontId="10" fillId="7" borderId="70" xfId="0" applyNumberFormat="1" applyFont="1" applyFill="1" applyBorder="1"/>
    <xf numFmtId="2" fontId="46" fillId="7" borderId="70" xfId="0" applyNumberFormat="1" applyFont="1" applyFill="1" applyBorder="1"/>
    <xf numFmtId="4" fontId="46" fillId="7" borderId="70" xfId="0" applyNumberFormat="1" applyFont="1" applyFill="1" applyBorder="1"/>
    <xf numFmtId="2" fontId="46" fillId="28" borderId="71" xfId="0" applyNumberFormat="1" applyFont="1" applyFill="1" applyBorder="1"/>
    <xf numFmtId="2" fontId="10" fillId="0" borderId="6" xfId="0" applyNumberFormat="1" applyFont="1" applyBorder="1"/>
    <xf numFmtId="2" fontId="10" fillId="28" borderId="0" xfId="0" applyNumberFormat="1" applyFont="1" applyFill="1"/>
    <xf numFmtId="2" fontId="79" fillId="33" borderId="0" xfId="0" applyNumberFormat="1" applyFont="1" applyFill="1"/>
    <xf numFmtId="2" fontId="79" fillId="33" borderId="0" xfId="0" applyNumberFormat="1" applyFont="1" applyFill="1" applyProtection="1">
      <protection locked="0"/>
    </xf>
    <xf numFmtId="2" fontId="80" fillId="33" borderId="63" xfId="0" applyNumberFormat="1" applyFont="1" applyFill="1" applyBorder="1"/>
    <xf numFmtId="4" fontId="80" fillId="33" borderId="71" xfId="0" applyNumberFormat="1" applyFont="1" applyFill="1" applyBorder="1"/>
    <xf numFmtId="2" fontId="12" fillId="0" borderId="5" xfId="0" applyNumberFormat="1" applyFont="1" applyBorder="1"/>
    <xf numFmtId="4" fontId="12" fillId="0" borderId="72" xfId="0" applyNumberFormat="1" applyFont="1" applyBorder="1"/>
    <xf numFmtId="2" fontId="10" fillId="0" borderId="2" xfId="0" applyNumberFormat="1" applyFont="1" applyBorder="1"/>
    <xf numFmtId="2" fontId="20" fillId="0" borderId="0" xfId="0" applyNumberFormat="1" applyFont="1" applyAlignment="1">
      <alignment horizontal="center"/>
    </xf>
    <xf numFmtId="2" fontId="10" fillId="34" borderId="73" xfId="0" applyNumberFormat="1" applyFont="1" applyFill="1" applyBorder="1" applyAlignment="1">
      <alignment horizontal="left"/>
    </xf>
    <xf numFmtId="4" fontId="19" fillId="34" borderId="74" xfId="0" applyNumberFormat="1" applyFont="1" applyFill="1" applyBorder="1" applyAlignment="1">
      <alignment horizontal="left"/>
    </xf>
    <xf numFmtId="2" fontId="10" fillId="34" borderId="75" xfId="0" applyNumberFormat="1" applyFont="1" applyFill="1" applyBorder="1" applyAlignment="1">
      <alignment horizontal="left"/>
    </xf>
    <xf numFmtId="10" fontId="19" fillId="34" borderId="76" xfId="2" applyNumberFormat="1" applyFont="1" applyFill="1" applyBorder="1" applyAlignment="1">
      <alignment horizontal="center"/>
    </xf>
    <xf numFmtId="2" fontId="10" fillId="0" borderId="6" xfId="0" applyNumberFormat="1" applyFont="1" applyBorder="1" applyAlignment="1">
      <alignment horizontal="left"/>
    </xf>
    <xf numFmtId="2" fontId="3" fillId="0" borderId="6" xfId="0" applyNumberFormat="1" applyFont="1" applyBorder="1" applyAlignment="1">
      <alignment horizontal="left"/>
    </xf>
    <xf numFmtId="2" fontId="46" fillId="35" borderId="68" xfId="0" applyNumberFormat="1" applyFont="1" applyFill="1" applyBorder="1"/>
    <xf numFmtId="4" fontId="19" fillId="36" borderId="74" xfId="0" applyNumberFormat="1" applyFont="1" applyFill="1" applyBorder="1" applyAlignment="1">
      <alignment horizontal="left"/>
    </xf>
    <xf numFmtId="10" fontId="12" fillId="35" borderId="68" xfId="2" applyNumberFormat="1" applyFont="1" applyFill="1" applyBorder="1" applyAlignment="1">
      <alignment horizontal="center"/>
    </xf>
    <xf numFmtId="2" fontId="3" fillId="0" borderId="0" xfId="0" applyNumberFormat="1" applyFont="1" applyAlignment="1">
      <alignment horizontal="left"/>
    </xf>
    <xf numFmtId="2" fontId="10" fillId="37" borderId="77" xfId="0" applyNumberFormat="1" applyFont="1" applyFill="1" applyBorder="1" applyAlignment="1">
      <alignment horizontal="left"/>
    </xf>
    <xf numFmtId="4" fontId="12" fillId="37" borderId="78" xfId="0" applyNumberFormat="1" applyFont="1" applyFill="1" applyBorder="1" applyAlignment="1">
      <alignment horizontal="left"/>
    </xf>
    <xf numFmtId="2" fontId="10" fillId="37" borderId="79" xfId="0" applyNumberFormat="1" applyFont="1" applyFill="1" applyBorder="1" applyAlignment="1">
      <alignment horizontal="left"/>
    </xf>
    <xf numFmtId="166" fontId="12" fillId="37" borderId="80" xfId="2" applyNumberFormat="1" applyFont="1" applyFill="1" applyBorder="1" applyAlignment="1">
      <alignment horizontal="center"/>
    </xf>
    <xf numFmtId="2" fontId="10" fillId="38" borderId="81" xfId="0" applyNumberFormat="1" applyFont="1" applyFill="1" applyBorder="1" applyAlignment="1">
      <alignment horizontal="left"/>
    </xf>
    <xf numFmtId="4" fontId="3" fillId="38" borderId="82" xfId="0" applyNumberFormat="1" applyFont="1" applyFill="1" applyBorder="1" applyAlignment="1">
      <alignment horizontal="left"/>
    </xf>
    <xf numFmtId="2" fontId="10" fillId="38" borderId="83" xfId="0" applyNumberFormat="1" applyFont="1" applyFill="1" applyBorder="1" applyAlignment="1">
      <alignment horizontal="left"/>
    </xf>
    <xf numFmtId="10" fontId="12" fillId="38" borderId="84" xfId="2" applyNumberFormat="1" applyFont="1" applyFill="1" applyBorder="1" applyAlignment="1">
      <alignment horizontal="center"/>
    </xf>
    <xf numFmtId="2" fontId="46" fillId="0" borderId="85" xfId="0" applyNumberFormat="1" applyFont="1" applyBorder="1" applyAlignment="1">
      <alignment horizontal="left"/>
    </xf>
    <xf numFmtId="2" fontId="10" fillId="0" borderId="86" xfId="0" applyNumberFormat="1" applyFont="1" applyBorder="1" applyAlignment="1">
      <alignment horizontal="left"/>
    </xf>
    <xf numFmtId="2" fontId="10" fillId="0" borderId="87" xfId="0" applyNumberFormat="1" applyFont="1" applyBorder="1" applyAlignment="1">
      <alignment horizontal="left"/>
    </xf>
    <xf numFmtId="2" fontId="3" fillId="0" borderId="88" xfId="0" applyNumberFormat="1" applyFont="1" applyBorder="1" applyAlignment="1">
      <alignment horizontal="left"/>
    </xf>
    <xf numFmtId="2" fontId="10" fillId="0" borderId="88" xfId="0" applyNumberFormat="1" applyFont="1" applyBorder="1" applyAlignment="1">
      <alignment horizontal="left"/>
    </xf>
    <xf numFmtId="1" fontId="10" fillId="0" borderId="87" xfId="0" applyNumberFormat="1" applyFont="1" applyBorder="1" applyAlignment="1">
      <alignment horizontal="left"/>
    </xf>
    <xf numFmtId="2" fontId="12" fillId="0" borderId="87" xfId="0" applyNumberFormat="1" applyFont="1" applyBorder="1" applyAlignment="1">
      <alignment horizontal="left"/>
    </xf>
    <xf numFmtId="2" fontId="12" fillId="0" borderId="88" xfId="0" applyNumberFormat="1" applyFont="1" applyBorder="1" applyAlignment="1">
      <alignment horizontal="left"/>
    </xf>
    <xf numFmtId="2" fontId="12" fillId="28" borderId="6" xfId="0" applyNumberFormat="1" applyFont="1" applyFill="1" applyBorder="1"/>
    <xf numFmtId="2" fontId="10" fillId="0" borderId="89" xfId="0" applyNumberFormat="1" applyFont="1" applyBorder="1" applyAlignment="1">
      <alignment horizontal="left"/>
    </xf>
    <xf numFmtId="2" fontId="46" fillId="0" borderId="90" xfId="0" applyNumberFormat="1" applyFont="1" applyBorder="1" applyAlignment="1">
      <alignment horizontal="left"/>
    </xf>
    <xf numFmtId="2" fontId="44" fillId="28" borderId="0" xfId="0" applyNumberFormat="1" applyFont="1" applyFill="1"/>
    <xf numFmtId="168" fontId="44" fillId="0" borderId="0" xfId="0" applyNumberFormat="1" applyFont="1"/>
    <xf numFmtId="2" fontId="3" fillId="0" borderId="68" xfId="0" applyNumberFormat="1" applyFont="1" applyBorder="1"/>
    <xf numFmtId="1" fontId="10" fillId="0" borderId="68" xfId="0" applyNumberFormat="1" applyFont="1" applyBorder="1" applyAlignment="1">
      <alignment horizontal="center"/>
    </xf>
    <xf numFmtId="2" fontId="10" fillId="0" borderId="68" xfId="0" applyNumberFormat="1" applyFont="1" applyBorder="1"/>
    <xf numFmtId="2" fontId="81" fillId="0" borderId="68" xfId="0" applyNumberFormat="1" applyFont="1" applyBorder="1" applyAlignment="1">
      <alignment horizontal="left"/>
    </xf>
    <xf numFmtId="2" fontId="10" fillId="0" borderId="68" xfId="0" applyNumberFormat="1" applyFont="1" applyBorder="1" applyAlignment="1">
      <alignment horizontal="left"/>
    </xf>
    <xf numFmtId="2" fontId="81" fillId="8" borderId="68" xfId="0" applyNumberFormat="1" applyFont="1" applyFill="1" applyBorder="1" applyAlignment="1">
      <alignment horizontal="left"/>
    </xf>
    <xf numFmtId="1" fontId="10" fillId="6" borderId="68" xfId="0" applyNumberFormat="1" applyFont="1" applyFill="1" applyBorder="1" applyAlignment="1">
      <alignment horizontal="center"/>
    </xf>
    <xf numFmtId="2" fontId="10" fillId="6" borderId="68" xfId="0" applyNumberFormat="1" applyFont="1" applyFill="1" applyBorder="1"/>
    <xf numFmtId="2" fontId="81" fillId="6" borderId="68" xfId="0" applyNumberFormat="1" applyFont="1" applyFill="1" applyBorder="1" applyAlignment="1">
      <alignment horizontal="left"/>
    </xf>
    <xf numFmtId="2" fontId="10" fillId="6" borderId="68" xfId="0" applyNumberFormat="1" applyFont="1" applyFill="1" applyBorder="1" applyAlignment="1">
      <alignment horizontal="left"/>
    </xf>
    <xf numFmtId="2" fontId="82" fillId="8" borderId="68" xfId="0" applyNumberFormat="1" applyFont="1" applyFill="1" applyBorder="1" applyAlignment="1">
      <alignment horizontal="left"/>
    </xf>
    <xf numFmtId="2" fontId="83" fillId="0" borderId="0" xfId="0" applyNumberFormat="1" applyFont="1"/>
    <xf numFmtId="2" fontId="81" fillId="29" borderId="68" xfId="0" applyNumberFormat="1" applyFont="1" applyFill="1" applyBorder="1" applyAlignment="1">
      <alignment horizontal="left"/>
    </xf>
    <xf numFmtId="2" fontId="10" fillId="30" borderId="68" xfId="0" applyNumberFormat="1" applyFont="1" applyFill="1" applyBorder="1" applyAlignment="1">
      <alignment horizontal="left"/>
    </xf>
    <xf numFmtId="2" fontId="82" fillId="39" borderId="68" xfId="0" applyNumberFormat="1" applyFont="1" applyFill="1" applyBorder="1" applyAlignment="1">
      <alignment horizontal="left"/>
    </xf>
    <xf numFmtId="1" fontId="0" fillId="0" borderId="68" xfId="0" applyNumberFormat="1" applyBorder="1" applyAlignment="1">
      <alignment horizontal="center"/>
    </xf>
    <xf numFmtId="2" fontId="0" fillId="0" borderId="68" xfId="0" applyNumberFormat="1" applyBorder="1"/>
    <xf numFmtId="2" fontId="84" fillId="0" borderId="68" xfId="0" applyNumberFormat="1" applyFont="1" applyBorder="1" applyAlignment="1">
      <alignment horizontal="left"/>
    </xf>
    <xf numFmtId="2" fontId="0" fillId="0" borderId="68" xfId="0" applyNumberFormat="1" applyBorder="1" applyAlignment="1">
      <alignment horizontal="left"/>
    </xf>
    <xf numFmtId="1" fontId="10" fillId="40" borderId="68" xfId="0" applyNumberFormat="1" applyFont="1" applyFill="1" applyBorder="1" applyAlignment="1">
      <alignment horizontal="center"/>
    </xf>
    <xf numFmtId="2" fontId="10" fillId="40" borderId="68" xfId="0" applyNumberFormat="1" applyFont="1" applyFill="1" applyBorder="1"/>
    <xf numFmtId="2" fontId="10" fillId="40" borderId="68" xfId="0" applyNumberFormat="1" applyFont="1" applyFill="1" applyBorder="1" applyAlignment="1">
      <alignment horizontal="left"/>
    </xf>
    <xf numFmtId="2" fontId="23" fillId="8" borderId="68" xfId="0" applyNumberFormat="1" applyFont="1" applyFill="1" applyBorder="1"/>
    <xf numFmtId="2" fontId="10" fillId="6" borderId="68" xfId="0" applyNumberFormat="1" applyFont="1" applyFill="1" applyBorder="1" applyAlignment="1">
      <alignment horizontal="right"/>
    </xf>
    <xf numFmtId="2" fontId="23" fillId="8" borderId="68" xfId="0" applyNumberFormat="1" applyFont="1" applyFill="1" applyBorder="1" applyAlignment="1">
      <alignment horizontal="right"/>
    </xf>
    <xf numFmtId="2" fontId="3" fillId="6" borderId="68" xfId="0" applyNumberFormat="1" applyFont="1" applyFill="1" applyBorder="1" applyAlignment="1">
      <alignment horizontal="left"/>
    </xf>
    <xf numFmtId="2" fontId="13" fillId="13" borderId="68" xfId="0" applyNumberFormat="1" applyFont="1" applyFill="1" applyBorder="1" applyAlignment="1">
      <alignment horizontal="left"/>
    </xf>
    <xf numFmtId="2" fontId="13" fillId="8" borderId="68" xfId="0" applyNumberFormat="1" applyFont="1" applyFill="1" applyBorder="1" applyAlignment="1">
      <alignment horizontal="right"/>
    </xf>
    <xf numFmtId="2" fontId="85" fillId="0" borderId="0" xfId="0" applyNumberFormat="1" applyFont="1"/>
    <xf numFmtId="2" fontId="86" fillId="41" borderId="68" xfId="0" applyNumberFormat="1" applyFont="1" applyFill="1" applyBorder="1"/>
    <xf numFmtId="9" fontId="13" fillId="0" borderId="68" xfId="2" applyFont="1" applyBorder="1" applyAlignment="1">
      <alignment horizontal="right"/>
    </xf>
    <xf numFmtId="2" fontId="3" fillId="0" borderId="68" xfId="0" applyNumberFormat="1" applyFont="1" applyBorder="1" applyAlignment="1">
      <alignment horizontal="left"/>
    </xf>
    <xf numFmtId="2" fontId="87" fillId="6" borderId="68" xfId="0" applyNumberFormat="1" applyFont="1" applyFill="1" applyBorder="1"/>
    <xf numFmtId="2" fontId="87" fillId="6" borderId="68" xfId="0" applyNumberFormat="1" applyFont="1" applyFill="1" applyBorder="1" applyAlignment="1">
      <alignment horizontal="left"/>
    </xf>
    <xf numFmtId="2" fontId="86" fillId="0" borderId="68" xfId="0" applyNumberFormat="1" applyFont="1" applyBorder="1"/>
    <xf numFmtId="2" fontId="88" fillId="0" borderId="0" xfId="0" applyNumberFormat="1" applyFont="1" applyAlignment="1">
      <alignment horizontal="left"/>
    </xf>
    <xf numFmtId="1" fontId="34" fillId="31" borderId="68" xfId="0" applyNumberFormat="1" applyFont="1" applyFill="1" applyBorder="1" applyAlignment="1">
      <alignment horizontal="center"/>
    </xf>
    <xf numFmtId="2" fontId="34" fillId="31" borderId="68" xfId="0" applyNumberFormat="1" applyFont="1" applyFill="1" applyBorder="1"/>
    <xf numFmtId="2" fontId="34" fillId="31" borderId="68" xfId="0" applyNumberFormat="1" applyFont="1" applyFill="1" applyBorder="1" applyAlignment="1">
      <alignment horizontal="left"/>
    </xf>
    <xf numFmtId="2" fontId="10" fillId="31" borderId="68" xfId="0" applyNumberFormat="1" applyFont="1" applyFill="1" applyBorder="1" applyAlignment="1">
      <alignment horizontal="left"/>
    </xf>
    <xf numFmtId="2" fontId="10" fillId="0" borderId="68" xfId="0" applyNumberFormat="1" applyFont="1" applyBorder="1" applyAlignment="1">
      <alignment horizontal="right"/>
    </xf>
    <xf numFmtId="2" fontId="10" fillId="0" borderId="0" xfId="0" applyNumberFormat="1" applyFont="1" applyAlignment="1">
      <alignment horizontal="left"/>
    </xf>
    <xf numFmtId="2" fontId="10" fillId="6" borderId="68" xfId="0" applyNumberFormat="1" applyFont="1" applyFill="1" applyBorder="1" applyAlignment="1">
      <alignment horizontal="center"/>
    </xf>
    <xf numFmtId="2" fontId="5" fillId="6" borderId="68" xfId="0" applyNumberFormat="1" applyFont="1" applyFill="1" applyBorder="1" applyAlignment="1">
      <alignment horizontal="right"/>
    </xf>
    <xf numFmtId="2" fontId="3" fillId="6" borderId="68" xfId="0" applyNumberFormat="1" applyFont="1" applyFill="1" applyBorder="1"/>
    <xf numFmtId="4" fontId="89" fillId="6" borderId="68" xfId="0" applyNumberFormat="1" applyFont="1" applyFill="1" applyBorder="1" applyAlignment="1">
      <alignment horizontal="left"/>
    </xf>
    <xf numFmtId="2" fontId="5" fillId="8" borderId="68" xfId="0" applyNumberFormat="1" applyFont="1" applyFill="1" applyBorder="1"/>
    <xf numFmtId="168" fontId="10" fillId="0" borderId="68" xfId="0" applyNumberFormat="1" applyFont="1" applyBorder="1" applyAlignment="1">
      <alignment horizontal="left"/>
    </xf>
    <xf numFmtId="2" fontId="46" fillId="0" borderId="68" xfId="0" applyNumberFormat="1" applyFont="1" applyBorder="1"/>
    <xf numFmtId="2" fontId="10" fillId="8" borderId="68" xfId="0" applyNumberFormat="1" applyFont="1" applyFill="1" applyBorder="1"/>
    <xf numFmtId="2" fontId="12" fillId="6" borderId="68" xfId="0" applyNumberFormat="1" applyFont="1" applyFill="1" applyBorder="1"/>
    <xf numFmtId="2" fontId="12" fillId="8" borderId="68" xfId="0" applyNumberFormat="1" applyFont="1" applyFill="1" applyBorder="1"/>
    <xf numFmtId="10" fontId="10" fillId="6" borderId="68" xfId="0" applyNumberFormat="1" applyFont="1" applyFill="1" applyBorder="1" applyAlignment="1">
      <alignment horizontal="right"/>
    </xf>
    <xf numFmtId="2" fontId="3" fillId="6" borderId="68" xfId="0" applyNumberFormat="1" applyFont="1" applyFill="1" applyBorder="1" applyAlignment="1">
      <alignment horizontal="center"/>
    </xf>
    <xf numFmtId="2" fontId="0" fillId="6" borderId="68" xfId="0" applyNumberFormat="1" applyFill="1" applyBorder="1" applyAlignment="1">
      <alignment horizontal="right"/>
    </xf>
    <xf numFmtId="2" fontId="0" fillId="0" borderId="0" xfId="0" applyNumberFormat="1" applyAlignment="1">
      <alignment horizontal="right"/>
    </xf>
    <xf numFmtId="2" fontId="83" fillId="0" borderId="0" xfId="0" applyNumberFormat="1" applyFont="1" applyAlignment="1">
      <alignment horizontal="left"/>
    </xf>
    <xf numFmtId="2" fontId="5" fillId="6" borderId="68" xfId="0" applyNumberFormat="1" applyFont="1" applyFill="1" applyBorder="1"/>
    <xf numFmtId="2" fontId="10" fillId="0" borderId="68" xfId="0" applyNumberFormat="1" applyFont="1" applyBorder="1" applyAlignment="1">
      <alignment horizontal="center"/>
    </xf>
    <xf numFmtId="2" fontId="64" fillId="6" borderId="68" xfId="0" applyNumberFormat="1" applyFont="1" applyFill="1" applyBorder="1" applyAlignment="1">
      <alignment horizontal="right"/>
    </xf>
    <xf numFmtId="4" fontId="90" fillId="6" borderId="68" xfId="0" applyNumberFormat="1" applyFont="1" applyFill="1" applyBorder="1" applyAlignment="1">
      <alignment horizontal="right"/>
    </xf>
    <xf numFmtId="2" fontId="90" fillId="0" borderId="0" xfId="0" applyNumberFormat="1" applyFont="1" applyAlignment="1">
      <alignment horizontal="right"/>
    </xf>
    <xf numFmtId="2" fontId="10" fillId="8" borderId="68" xfId="0" applyNumberFormat="1" applyFont="1" applyFill="1" applyBorder="1" applyAlignment="1">
      <alignment horizontal="right"/>
    </xf>
    <xf numFmtId="2" fontId="12" fillId="0" borderId="68" xfId="0" applyNumberFormat="1" applyFont="1" applyBorder="1"/>
    <xf numFmtId="4" fontId="91" fillId="0" borderId="68" xfId="0" applyNumberFormat="1" applyFont="1" applyBorder="1" applyAlignment="1">
      <alignment horizontal="center"/>
    </xf>
    <xf numFmtId="2" fontId="92" fillId="0" borderId="0" xfId="0" applyNumberFormat="1" applyFont="1" applyAlignment="1">
      <alignment horizontal="left"/>
    </xf>
    <xf numFmtId="4" fontId="90" fillId="0" borderId="68" xfId="0" applyNumberFormat="1" applyFont="1" applyBorder="1" applyAlignment="1">
      <alignment horizontal="left"/>
    </xf>
    <xf numFmtId="2" fontId="90" fillId="0" borderId="68" xfId="0" applyNumberFormat="1" applyFont="1" applyBorder="1" applyAlignment="1">
      <alignment horizontal="left"/>
    </xf>
    <xf numFmtId="2" fontId="21" fillId="42" borderId="68" xfId="0" applyNumberFormat="1" applyFont="1" applyFill="1" applyBorder="1"/>
    <xf numFmtId="4" fontId="93" fillId="43" borderId="68" xfId="0" applyNumberFormat="1" applyFont="1" applyFill="1" applyBorder="1" applyAlignment="1">
      <alignment horizontal="left"/>
    </xf>
    <xf numFmtId="2" fontId="93" fillId="0" borderId="0" xfId="0" applyNumberFormat="1" applyFont="1" applyAlignment="1">
      <alignment horizontal="left"/>
    </xf>
    <xf numFmtId="10" fontId="93" fillId="43" borderId="68" xfId="2" applyNumberFormat="1" applyFont="1" applyFill="1" applyBorder="1" applyAlignment="1">
      <alignment horizontal="right"/>
    </xf>
    <xf numFmtId="2" fontId="93" fillId="0" borderId="0" xfId="0" applyNumberFormat="1" applyFont="1" applyAlignment="1">
      <alignment horizontal="right"/>
    </xf>
    <xf numFmtId="2" fontId="46" fillId="0" borderId="0" xfId="0" applyNumberFormat="1" applyFont="1"/>
    <xf numFmtId="2" fontId="21" fillId="0" borderId="68" xfId="0" applyNumberFormat="1" applyFont="1" applyBorder="1"/>
    <xf numFmtId="166" fontId="93" fillId="0" borderId="68" xfId="2" applyNumberFormat="1" applyFont="1" applyFill="1" applyBorder="1" applyAlignment="1">
      <alignment horizontal="right"/>
    </xf>
    <xf numFmtId="4" fontId="93" fillId="35" borderId="68" xfId="2" applyNumberFormat="1" applyFont="1" applyFill="1" applyBorder="1" applyAlignment="1">
      <alignment horizontal="left"/>
    </xf>
    <xf numFmtId="10" fontId="93" fillId="44" borderId="68" xfId="2" applyNumberFormat="1" applyFont="1" applyFill="1" applyBorder="1" applyAlignment="1">
      <alignment horizontal="right"/>
    </xf>
    <xf numFmtId="2" fontId="90" fillId="0" borderId="0" xfId="0" applyNumberFormat="1" applyFont="1" applyAlignment="1">
      <alignment horizontal="left"/>
    </xf>
    <xf numFmtId="2" fontId="21" fillId="45" borderId="68" xfId="0" applyNumberFormat="1" applyFont="1" applyFill="1" applyBorder="1"/>
    <xf numFmtId="4" fontId="93" fillId="45" borderId="68" xfId="0" applyNumberFormat="1" applyFont="1" applyFill="1" applyBorder="1" applyAlignment="1">
      <alignment horizontal="left"/>
    </xf>
    <xf numFmtId="10" fontId="93" fillId="45" borderId="68" xfId="2" applyNumberFormat="1" applyFont="1" applyFill="1" applyBorder="1" applyAlignment="1">
      <alignment horizontal="right"/>
    </xf>
    <xf numFmtId="166" fontId="93" fillId="45" borderId="68" xfId="2" applyNumberFormat="1" applyFont="1" applyFill="1" applyBorder="1" applyAlignment="1">
      <alignment horizontal="right"/>
    </xf>
    <xf numFmtId="2" fontId="90" fillId="0" borderId="68" xfId="0" applyNumberFormat="1" applyFont="1" applyBorder="1" applyAlignment="1">
      <alignment horizontal="right"/>
    </xf>
    <xf numFmtId="2" fontId="94" fillId="0" borderId="0" xfId="0" applyNumberFormat="1" applyFont="1" applyAlignment="1">
      <alignment horizontal="right"/>
    </xf>
    <xf numFmtId="2" fontId="95" fillId="38" borderId="68" xfId="0" applyNumberFormat="1" applyFont="1" applyFill="1" applyBorder="1"/>
    <xf numFmtId="2" fontId="49" fillId="0" borderId="68" xfId="0" applyNumberFormat="1" applyFont="1" applyBorder="1"/>
    <xf numFmtId="4" fontId="96" fillId="38" borderId="68" xfId="0" applyNumberFormat="1" applyFont="1" applyFill="1" applyBorder="1" applyAlignment="1">
      <alignment horizontal="left"/>
    </xf>
    <xf numFmtId="2" fontId="97" fillId="0" borderId="0" xfId="0" applyNumberFormat="1" applyFont="1"/>
    <xf numFmtId="2" fontId="98" fillId="22" borderId="0" xfId="0" applyNumberFormat="1" applyFont="1" applyFill="1"/>
    <xf numFmtId="1" fontId="99" fillId="0" borderId="0" xfId="0" applyNumberFormat="1" applyFont="1" applyProtection="1">
      <protection locked="0"/>
    </xf>
    <xf numFmtId="1" fontId="100" fillId="0" borderId="0" xfId="0" applyNumberFormat="1" applyFont="1" applyProtection="1">
      <protection locked="0"/>
    </xf>
    <xf numFmtId="1" fontId="99" fillId="0" borderId="32" xfId="0" applyNumberFormat="1" applyFont="1" applyBorder="1" applyProtection="1">
      <protection locked="0"/>
    </xf>
    <xf numFmtId="1" fontId="100" fillId="0" borderId="33" xfId="0" applyNumberFormat="1" applyFont="1" applyBorder="1" applyProtection="1">
      <protection locked="0"/>
    </xf>
    <xf numFmtId="9" fontId="3" fillId="0" borderId="33" xfId="2" applyFont="1" applyBorder="1" applyAlignment="1" applyProtection="1">
      <alignment horizontal="center"/>
      <protection locked="0"/>
    </xf>
    <xf numFmtId="2" fontId="0" fillId="0" borderId="91" xfId="0" applyNumberFormat="1" applyBorder="1" applyProtection="1">
      <protection locked="0"/>
    </xf>
    <xf numFmtId="2" fontId="0" fillId="0" borderId="0" xfId="0" applyNumberFormat="1" applyProtection="1">
      <protection locked="0"/>
    </xf>
    <xf numFmtId="17" fontId="10" fillId="0" borderId="0" xfId="0" applyNumberFormat="1" applyFont="1" applyProtection="1">
      <protection locked="0"/>
    </xf>
    <xf numFmtId="17" fontId="46" fillId="0" borderId="36" xfId="0" applyNumberFormat="1" applyFont="1" applyBorder="1" applyAlignment="1" applyProtection="1">
      <alignment horizontal="center"/>
      <protection locked="0"/>
    </xf>
    <xf numFmtId="17" fontId="46" fillId="0" borderId="5" xfId="0" applyNumberFormat="1" applyFont="1" applyBorder="1" applyAlignment="1" applyProtection="1">
      <alignment horizontal="center"/>
      <protection locked="0"/>
    </xf>
    <xf numFmtId="17" fontId="46" fillId="0" borderId="0" xfId="0" applyNumberFormat="1" applyFont="1" applyAlignment="1" applyProtection="1">
      <alignment horizontal="center"/>
      <protection locked="0"/>
    </xf>
    <xf numFmtId="2" fontId="101" fillId="0" borderId="0" xfId="0" applyNumberFormat="1" applyFont="1"/>
    <xf numFmtId="3" fontId="10" fillId="0" borderId="0" xfId="0" applyNumberFormat="1" applyFont="1" applyProtection="1">
      <protection locked="0"/>
    </xf>
    <xf numFmtId="3" fontId="21" fillId="0" borderId="5" xfId="0" applyNumberFormat="1" applyFont="1" applyBorder="1" applyProtection="1">
      <protection locked="0"/>
    </xf>
    <xf numFmtId="3" fontId="65" fillId="0" borderId="5" xfId="0" applyNumberFormat="1" applyFont="1" applyBorder="1" applyProtection="1">
      <protection locked="0"/>
    </xf>
    <xf numFmtId="3" fontId="65" fillId="0" borderId="0" xfId="0" applyNumberFormat="1" applyFont="1" applyProtection="1">
      <protection locked="0"/>
    </xf>
    <xf numFmtId="3" fontId="10" fillId="0" borderId="0" xfId="2" applyNumberFormat="1" applyFont="1" applyFill="1" applyBorder="1" applyAlignment="1" applyProtection="1">
      <protection locked="0"/>
    </xf>
    <xf numFmtId="3" fontId="37" fillId="0" borderId="0" xfId="0" applyNumberFormat="1" applyFont="1" applyProtection="1">
      <protection locked="0"/>
    </xf>
    <xf numFmtId="1" fontId="13" fillId="0" borderId="14" xfId="0" applyNumberFormat="1" applyFont="1" applyBorder="1" applyAlignment="1" applyProtection="1">
      <alignment horizontal="center"/>
      <protection locked="0"/>
    </xf>
    <xf numFmtId="10" fontId="10" fillId="0" borderId="0" xfId="2" applyNumberFormat="1" applyFont="1" applyFill="1" applyBorder="1" applyAlignment="1" applyProtection="1">
      <protection locked="0"/>
    </xf>
    <xf numFmtId="2" fontId="37" fillId="0" borderId="0" xfId="0" applyNumberFormat="1" applyFont="1" applyProtection="1">
      <protection locked="0"/>
    </xf>
    <xf numFmtId="1" fontId="13" fillId="0" borderId="9" xfId="0" applyNumberFormat="1" applyFont="1" applyBorder="1" applyAlignment="1" applyProtection="1">
      <alignment horizontal="center"/>
      <protection locked="0"/>
    </xf>
    <xf numFmtId="9" fontId="102" fillId="0" borderId="0" xfId="2" applyFont="1" applyFill="1" applyBorder="1" applyAlignment="1" applyProtection="1">
      <protection locked="0"/>
    </xf>
    <xf numFmtId="166" fontId="65" fillId="0" borderId="0" xfId="2" applyNumberFormat="1" applyFont="1" applyFill="1" applyBorder="1" applyAlignment="1" applyProtection="1">
      <protection locked="0"/>
    </xf>
    <xf numFmtId="2" fontId="65" fillId="0" borderId="47" xfId="0" applyNumberFormat="1" applyFont="1" applyBorder="1" applyProtection="1">
      <protection locked="0"/>
    </xf>
    <xf numFmtId="2" fontId="65" fillId="0" borderId="92" xfId="0" applyNumberFormat="1" applyFont="1" applyBorder="1" applyProtection="1">
      <protection locked="0"/>
    </xf>
    <xf numFmtId="2" fontId="65" fillId="0" borderId="0" xfId="0" applyNumberFormat="1" applyFont="1" applyProtection="1">
      <protection locked="0"/>
    </xf>
    <xf numFmtId="9" fontId="12" fillId="0" borderId="0" xfId="2" applyFont="1" applyAlignment="1">
      <alignment horizontal="center"/>
    </xf>
    <xf numFmtId="2" fontId="12" fillId="3" borderId="93" xfId="0" applyNumberFormat="1" applyFont="1" applyFill="1" applyBorder="1" applyAlignment="1">
      <alignment horizontal="right"/>
    </xf>
    <xf numFmtId="2" fontId="84" fillId="0" borderId="94" xfId="0" applyNumberFormat="1" applyFont="1" applyBorder="1"/>
    <xf numFmtId="2" fontId="103" fillId="0" borderId="95" xfId="0" applyNumberFormat="1" applyFont="1" applyBorder="1"/>
    <xf numFmtId="2" fontId="49" fillId="0" borderId="3" xfId="0" applyNumberFormat="1" applyFont="1" applyBorder="1"/>
    <xf numFmtId="1" fontId="12" fillId="0" borderId="3" xfId="0" applyNumberFormat="1" applyFont="1" applyBorder="1" applyAlignment="1" applyProtection="1">
      <alignment horizontal="center"/>
      <protection locked="0"/>
    </xf>
    <xf numFmtId="3" fontId="68" fillId="0" borderId="96" xfId="0" applyNumberFormat="1" applyFont="1" applyBorder="1"/>
    <xf numFmtId="3" fontId="12" fillId="0" borderId="0" xfId="0" applyNumberFormat="1" applyFont="1" applyAlignment="1" applyProtection="1">
      <alignment horizontal="center"/>
      <protection locked="0"/>
    </xf>
    <xf numFmtId="1" fontId="13" fillId="0" borderId="97" xfId="0" applyNumberFormat="1" applyFont="1" applyBorder="1" applyAlignment="1" applyProtection="1">
      <alignment horizontal="center"/>
      <protection locked="0"/>
    </xf>
    <xf numFmtId="3" fontId="59" fillId="0" borderId="0" xfId="0" applyNumberFormat="1" applyFont="1" applyAlignment="1">
      <alignment horizontal="left"/>
    </xf>
    <xf numFmtId="3" fontId="13" fillId="0" borderId="0" xfId="0" applyNumberFormat="1" applyFont="1" applyAlignment="1" applyProtection="1">
      <alignment horizontal="center"/>
      <protection locked="0"/>
    </xf>
    <xf numFmtId="166" fontId="71" fillId="27" borderId="0" xfId="2" applyNumberFormat="1" applyFont="1" applyFill="1" applyBorder="1" applyAlignment="1" applyProtection="1">
      <protection locked="0"/>
    </xf>
    <xf numFmtId="3" fontId="71" fillId="27" borderId="0" xfId="0" applyNumberFormat="1" applyFont="1" applyFill="1" applyProtection="1">
      <protection locked="0"/>
    </xf>
    <xf numFmtId="1" fontId="13" fillId="0" borderId="0" xfId="0" applyNumberFormat="1" applyFont="1" applyAlignment="1" applyProtection="1">
      <alignment horizontal="center"/>
      <protection locked="0"/>
    </xf>
    <xf numFmtId="169" fontId="13" fillId="0" borderId="0" xfId="0" applyNumberFormat="1" applyFont="1" applyAlignment="1" applyProtection="1">
      <alignment horizontal="center"/>
      <protection locked="0"/>
    </xf>
    <xf numFmtId="2" fontId="3" fillId="0" borderId="0" xfId="0" applyNumberFormat="1" applyFont="1" applyAlignment="1">
      <alignment horizontal="center"/>
    </xf>
    <xf numFmtId="2" fontId="19" fillId="0" borderId="4" xfId="0" applyNumberFormat="1" applyFont="1" applyBorder="1" applyAlignment="1">
      <alignment horizontal="right"/>
    </xf>
    <xf numFmtId="2" fontId="19" fillId="0" borderId="0" xfId="0" applyNumberFormat="1" applyFont="1" applyAlignment="1">
      <alignment horizontal="right"/>
    </xf>
    <xf numFmtId="2" fontId="10" fillId="46" borderId="0" xfId="0" applyNumberFormat="1" applyFont="1" applyFill="1"/>
    <xf numFmtId="2" fontId="3" fillId="0" borderId="98" xfId="0" applyNumberFormat="1" applyFont="1" applyBorder="1"/>
    <xf numFmtId="2" fontId="3" fillId="0" borderId="19" xfId="0" applyNumberFormat="1" applyFont="1" applyBorder="1"/>
    <xf numFmtId="2" fontId="3" fillId="0" borderId="3" xfId="0" applyNumberFormat="1" applyFont="1" applyBorder="1"/>
    <xf numFmtId="1" fontId="10" fillId="0" borderId="62" xfId="0" applyNumberFormat="1" applyFont="1" applyBorder="1" applyAlignment="1">
      <alignment horizontal="right"/>
    </xf>
    <xf numFmtId="1" fontId="46" fillId="0" borderId="62" xfId="0" applyNumberFormat="1" applyFont="1" applyBorder="1" applyAlignment="1">
      <alignment horizontal="right"/>
    </xf>
    <xf numFmtId="2" fontId="10" fillId="0" borderId="62" xfId="0" applyNumberFormat="1" applyFont="1" applyBorder="1"/>
    <xf numFmtId="4" fontId="10" fillId="7" borderId="62" xfId="0" applyNumberFormat="1" applyFont="1" applyFill="1" applyBorder="1" applyAlignment="1">
      <alignment horizontal="left"/>
    </xf>
    <xf numFmtId="4" fontId="10" fillId="7" borderId="63" xfId="0" applyNumberFormat="1" applyFont="1" applyFill="1" applyBorder="1" applyAlignment="1">
      <alignment horizontal="left"/>
    </xf>
    <xf numFmtId="2" fontId="0" fillId="28" borderId="0" xfId="0" applyNumberFormat="1" applyFill="1"/>
    <xf numFmtId="1" fontId="10" fillId="6" borderId="62" xfId="0" applyNumberFormat="1" applyFont="1" applyFill="1" applyBorder="1" applyAlignment="1">
      <alignment horizontal="right"/>
    </xf>
    <xf numFmtId="9" fontId="10" fillId="6" borderId="62" xfId="2" applyFont="1" applyFill="1" applyBorder="1" applyAlignment="1">
      <alignment horizontal="right"/>
    </xf>
    <xf numFmtId="4" fontId="10" fillId="6" borderId="62" xfId="0" applyNumberFormat="1" applyFont="1" applyFill="1" applyBorder="1" applyAlignment="1">
      <alignment horizontal="left"/>
    </xf>
    <xf numFmtId="4" fontId="10" fillId="6" borderId="63" xfId="0" applyNumberFormat="1" applyFont="1" applyFill="1" applyBorder="1" applyAlignment="1">
      <alignment horizontal="left"/>
    </xf>
    <xf numFmtId="1" fontId="12" fillId="0" borderId="62" xfId="0" applyNumberFormat="1" applyFont="1" applyBorder="1" applyAlignment="1">
      <alignment horizontal="right"/>
    </xf>
    <xf numFmtId="2" fontId="10" fillId="0" borderId="62" xfId="0" applyNumberFormat="1" applyFont="1" applyBorder="1" applyAlignment="1">
      <alignment horizontal="left"/>
    </xf>
    <xf numFmtId="1" fontId="10" fillId="7" borderId="62" xfId="0" applyNumberFormat="1" applyFont="1" applyFill="1" applyBorder="1" applyAlignment="1">
      <alignment horizontal="right"/>
    </xf>
    <xf numFmtId="9" fontId="64" fillId="7" borderId="62" xfId="2" applyFont="1" applyFill="1" applyBorder="1" applyAlignment="1" applyProtection="1">
      <alignment horizontal="right"/>
      <protection locked="0"/>
    </xf>
    <xf numFmtId="1" fontId="21" fillId="6" borderId="62" xfId="0" applyNumberFormat="1" applyFont="1" applyFill="1" applyBorder="1" applyAlignment="1">
      <alignment horizontal="right"/>
    </xf>
    <xf numFmtId="4" fontId="12" fillId="6" borderId="63" xfId="0" applyNumberFormat="1" applyFont="1" applyFill="1" applyBorder="1" applyAlignment="1">
      <alignment horizontal="left"/>
    </xf>
    <xf numFmtId="1" fontId="12" fillId="0" borderId="62" xfId="0" applyNumberFormat="1" applyFont="1" applyBorder="1"/>
    <xf numFmtId="4" fontId="0" fillId="0" borderId="0" xfId="0" applyNumberFormat="1"/>
    <xf numFmtId="1" fontId="10" fillId="40" borderId="62" xfId="0" applyNumberFormat="1" applyFont="1" applyFill="1" applyBorder="1" applyAlignment="1">
      <alignment horizontal="right"/>
    </xf>
    <xf numFmtId="1" fontId="12" fillId="40" borderId="62" xfId="0" applyNumberFormat="1" applyFont="1" applyFill="1" applyBorder="1" applyAlignment="1">
      <alignment horizontal="right"/>
    </xf>
    <xf numFmtId="2" fontId="84" fillId="17" borderId="62" xfId="0" applyNumberFormat="1" applyFont="1" applyFill="1" applyBorder="1"/>
    <xf numFmtId="1" fontId="13" fillId="31" borderId="68" xfId="0" applyNumberFormat="1" applyFont="1" applyFill="1" applyBorder="1" applyAlignment="1" applyProtection="1">
      <alignment horizontal="right"/>
      <protection locked="0"/>
    </xf>
    <xf numFmtId="4" fontId="34" fillId="31" borderId="68" xfId="0" applyNumberFormat="1" applyFont="1" applyFill="1" applyBorder="1" applyAlignment="1">
      <alignment horizontal="left"/>
    </xf>
    <xf numFmtId="1" fontId="13" fillId="7" borderId="62" xfId="0" applyNumberFormat="1" applyFont="1" applyFill="1" applyBorder="1"/>
    <xf numFmtId="4" fontId="46" fillId="7" borderId="62" xfId="0" applyNumberFormat="1" applyFont="1" applyFill="1" applyBorder="1" applyAlignment="1">
      <alignment horizontal="left"/>
    </xf>
    <xf numFmtId="1" fontId="3" fillId="6" borderId="62" xfId="0" applyNumberFormat="1" applyFont="1" applyFill="1" applyBorder="1" applyAlignment="1">
      <alignment horizontal="right"/>
    </xf>
    <xf numFmtId="4" fontId="64" fillId="6" borderId="62" xfId="0" applyNumberFormat="1" applyFont="1" applyFill="1" applyBorder="1" applyAlignment="1" applyProtection="1">
      <alignment horizontal="right"/>
      <protection locked="0"/>
    </xf>
    <xf numFmtId="1" fontId="12" fillId="7" borderId="62" xfId="0" applyNumberFormat="1" applyFont="1" applyFill="1" applyBorder="1" applyAlignment="1">
      <alignment horizontal="right"/>
    </xf>
    <xf numFmtId="4" fontId="31" fillId="47" borderId="62" xfId="0" applyNumberFormat="1" applyFont="1" applyFill="1" applyBorder="1" applyAlignment="1">
      <alignment horizontal="left"/>
    </xf>
    <xf numFmtId="4" fontId="31" fillId="0" borderId="62" xfId="0" applyNumberFormat="1" applyFont="1" applyBorder="1" applyAlignment="1">
      <alignment horizontal="left"/>
    </xf>
    <xf numFmtId="1" fontId="0" fillId="6" borderId="62" xfId="0" applyNumberFormat="1" applyFill="1" applyBorder="1"/>
    <xf numFmtId="4" fontId="46" fillId="6" borderId="62" xfId="0" applyNumberFormat="1" applyFont="1" applyFill="1" applyBorder="1" applyAlignment="1">
      <alignment horizontal="left"/>
    </xf>
    <xf numFmtId="1" fontId="3" fillId="7" borderId="62" xfId="0" applyNumberFormat="1" applyFont="1" applyFill="1" applyBorder="1"/>
    <xf numFmtId="4" fontId="64" fillId="7" borderId="62" xfId="0" applyNumberFormat="1" applyFont="1" applyFill="1" applyBorder="1" applyAlignment="1" applyProtection="1">
      <alignment horizontal="left"/>
      <protection locked="0"/>
    </xf>
    <xf numFmtId="4" fontId="10" fillId="7" borderId="63" xfId="0" applyNumberFormat="1" applyFont="1" applyFill="1" applyBorder="1" applyAlignment="1">
      <alignment horizontal="right"/>
    </xf>
    <xf numFmtId="2" fontId="10" fillId="6" borderId="62" xfId="0" applyNumberFormat="1" applyFont="1" applyFill="1" applyBorder="1" applyAlignment="1">
      <alignment horizontal="left"/>
    </xf>
    <xf numFmtId="4" fontId="10" fillId="6" borderId="63" xfId="0" applyNumberFormat="1" applyFont="1" applyFill="1" applyBorder="1" applyAlignment="1">
      <alignment horizontal="right"/>
    </xf>
    <xf numFmtId="1" fontId="10" fillId="7" borderId="62" xfId="0" applyNumberFormat="1" applyFont="1" applyFill="1" applyBorder="1" applyAlignment="1">
      <alignment horizontal="center"/>
    </xf>
    <xf numFmtId="9" fontId="5" fillId="7" borderId="62" xfId="2" applyFont="1" applyFill="1" applyBorder="1" applyAlignment="1" applyProtection="1">
      <alignment horizontal="right"/>
      <protection locked="0"/>
    </xf>
    <xf numFmtId="2" fontId="10" fillId="7" borderId="62" xfId="0" applyNumberFormat="1" applyFont="1" applyFill="1" applyBorder="1" applyAlignment="1">
      <alignment horizontal="left"/>
    </xf>
    <xf numFmtId="1" fontId="10" fillId="6" borderId="70" xfId="0" applyNumberFormat="1" applyFont="1" applyFill="1" applyBorder="1" applyAlignment="1">
      <alignment horizontal="center"/>
    </xf>
    <xf numFmtId="9" fontId="5" fillId="6" borderId="70" xfId="2" applyFont="1" applyFill="1" applyBorder="1" applyAlignment="1" applyProtection="1">
      <alignment horizontal="right"/>
      <protection locked="0"/>
    </xf>
    <xf numFmtId="2" fontId="10" fillId="6" borderId="70" xfId="0" applyNumberFormat="1" applyFont="1" applyFill="1" applyBorder="1"/>
    <xf numFmtId="4" fontId="10" fillId="6" borderId="70" xfId="0" applyNumberFormat="1" applyFont="1" applyFill="1" applyBorder="1" applyAlignment="1">
      <alignment horizontal="left"/>
    </xf>
    <xf numFmtId="4" fontId="10" fillId="6" borderId="71" xfId="0" applyNumberFormat="1" applyFont="1" applyFill="1" applyBorder="1" applyAlignment="1">
      <alignment horizontal="right"/>
    </xf>
    <xf numFmtId="2" fontId="3" fillId="0" borderId="71" xfId="0" applyNumberFormat="1" applyFont="1" applyBorder="1"/>
    <xf numFmtId="1" fontId="3" fillId="0" borderId="71" xfId="0" applyNumberFormat="1" applyFont="1" applyBorder="1"/>
    <xf numFmtId="2" fontId="46" fillId="0" borderId="71" xfId="0" applyNumberFormat="1" applyFont="1" applyBorder="1" applyAlignment="1">
      <alignment horizontal="left"/>
    </xf>
    <xf numFmtId="4" fontId="10" fillId="0" borderId="71" xfId="0" applyNumberFormat="1" applyFont="1" applyBorder="1" applyAlignment="1">
      <alignment horizontal="left"/>
    </xf>
    <xf numFmtId="4" fontId="46" fillId="0" borderId="71" xfId="0" applyNumberFormat="1" applyFont="1" applyBorder="1" applyAlignment="1">
      <alignment horizontal="right"/>
    </xf>
    <xf numFmtId="2" fontId="10" fillId="0" borderId="6" xfId="0" applyNumberFormat="1" applyFont="1" applyBorder="1" applyAlignment="1">
      <alignment horizontal="right"/>
    </xf>
    <xf numFmtId="2" fontId="79" fillId="33" borderId="0" xfId="0" applyNumberFormat="1" applyFont="1" applyFill="1" applyAlignment="1">
      <alignment horizontal="right"/>
    </xf>
    <xf numFmtId="2" fontId="80" fillId="33" borderId="3" xfId="0" applyNumberFormat="1" applyFont="1" applyFill="1" applyBorder="1"/>
    <xf numFmtId="4" fontId="80" fillId="33" borderId="63" xfId="0" applyNumberFormat="1" applyFont="1" applyFill="1" applyBorder="1" applyAlignment="1">
      <alignment horizontal="left"/>
    </xf>
    <xf numFmtId="4" fontId="80" fillId="33" borderId="71" xfId="0" applyNumberFormat="1" applyFont="1" applyFill="1" applyBorder="1" applyAlignment="1">
      <alignment horizontal="left"/>
    </xf>
    <xf numFmtId="2" fontId="80" fillId="33" borderId="0" xfId="0" applyNumberFormat="1" applyFont="1" applyFill="1"/>
    <xf numFmtId="2" fontId="10" fillId="11" borderId="0" xfId="0" applyNumberFormat="1" applyFont="1" applyFill="1" applyAlignment="1">
      <alignment horizontal="right"/>
    </xf>
    <xf numFmtId="4" fontId="12" fillId="0" borderId="5" xfId="0" applyNumberFormat="1" applyFont="1" applyBorder="1"/>
    <xf numFmtId="4" fontId="12" fillId="0" borderId="72" xfId="0" applyNumberFormat="1" applyFont="1" applyBorder="1" applyAlignment="1">
      <alignment horizontal="left"/>
    </xf>
    <xf numFmtId="2" fontId="12" fillId="28" borderId="0" xfId="0" applyNumberFormat="1" applyFont="1" applyFill="1"/>
    <xf numFmtId="2" fontId="46" fillId="0" borderId="99" xfId="0" applyNumberFormat="1" applyFont="1" applyBorder="1" applyAlignment="1">
      <alignment horizontal="left"/>
    </xf>
    <xf numFmtId="4" fontId="12" fillId="0" borderId="71" xfId="0" applyNumberFormat="1" applyFont="1" applyBorder="1" applyAlignment="1">
      <alignment horizontal="left"/>
    </xf>
    <xf numFmtId="2" fontId="10" fillId="0" borderId="71" xfId="0" applyNumberFormat="1" applyFont="1" applyBorder="1" applyAlignment="1">
      <alignment horizontal="left"/>
    </xf>
    <xf numFmtId="2" fontId="10" fillId="0" borderId="71" xfId="0" applyNumberFormat="1" applyFont="1" applyBorder="1" applyAlignment="1" applyProtection="1">
      <alignment horizontal="left"/>
      <protection locked="0"/>
    </xf>
    <xf numFmtId="2" fontId="10" fillId="0" borderId="0" xfId="0" applyNumberFormat="1" applyFont="1" applyAlignment="1">
      <alignment horizontal="center"/>
    </xf>
    <xf numFmtId="2" fontId="95" fillId="0" borderId="0" xfId="0" applyNumberFormat="1" applyFont="1"/>
    <xf numFmtId="2" fontId="10" fillId="34" borderId="100" xfId="0" applyNumberFormat="1" applyFont="1" applyFill="1" applyBorder="1" applyAlignment="1">
      <alignment horizontal="left"/>
    </xf>
    <xf numFmtId="2" fontId="95" fillId="28" borderId="0" xfId="0" applyNumberFormat="1" applyFont="1" applyFill="1"/>
    <xf numFmtId="2" fontId="10" fillId="34" borderId="101" xfId="0" applyNumberFormat="1" applyFont="1" applyFill="1" applyBorder="1" applyAlignment="1">
      <alignment horizontal="left"/>
    </xf>
    <xf numFmtId="2" fontId="10" fillId="0" borderId="102" xfId="0" applyNumberFormat="1" applyFont="1" applyBorder="1" applyAlignment="1">
      <alignment horizontal="left"/>
    </xf>
    <xf numFmtId="10" fontId="3" fillId="0" borderId="103" xfId="2" applyNumberFormat="1" applyFont="1" applyFill="1" applyBorder="1" applyAlignment="1">
      <alignment horizontal="left"/>
    </xf>
    <xf numFmtId="2" fontId="10" fillId="37" borderId="104" xfId="0" applyNumberFormat="1" applyFont="1" applyFill="1" applyBorder="1" applyAlignment="1">
      <alignment horizontal="left"/>
    </xf>
    <xf numFmtId="4" fontId="12" fillId="37" borderId="78" xfId="0" applyNumberFormat="1" applyFont="1" applyFill="1" applyBorder="1" applyAlignment="1">
      <alignment horizontal="center"/>
    </xf>
    <xf numFmtId="2" fontId="10" fillId="37" borderId="105" xfId="0" applyNumberFormat="1" applyFont="1" applyFill="1" applyBorder="1" applyAlignment="1">
      <alignment horizontal="left"/>
    </xf>
    <xf numFmtId="10" fontId="12" fillId="37" borderId="80" xfId="2" applyNumberFormat="1" applyFont="1" applyFill="1" applyBorder="1" applyAlignment="1">
      <alignment horizontal="center"/>
    </xf>
    <xf numFmtId="2" fontId="10" fillId="0" borderId="72" xfId="0" applyNumberFormat="1" applyFont="1" applyBorder="1" applyAlignment="1">
      <alignment horizontal="left"/>
    </xf>
    <xf numFmtId="2" fontId="12" fillId="0" borderId="71" xfId="0" applyNumberFormat="1" applyFont="1" applyBorder="1" applyAlignment="1">
      <alignment horizontal="center"/>
    </xf>
    <xf numFmtId="4" fontId="12" fillId="38" borderId="82" xfId="0" applyNumberFormat="1" applyFont="1" applyFill="1" applyBorder="1" applyAlignment="1">
      <alignment horizontal="center"/>
    </xf>
    <xf numFmtId="2" fontId="10" fillId="0" borderId="81" xfId="0" applyNumberFormat="1" applyFont="1" applyBorder="1" applyAlignment="1">
      <alignment horizontal="left"/>
    </xf>
    <xf numFmtId="4" fontId="12" fillId="0" borderId="82" xfId="0" applyNumberFormat="1" applyFont="1" applyBorder="1" applyAlignment="1">
      <alignment horizontal="center"/>
    </xf>
    <xf numFmtId="2" fontId="10" fillId="38" borderId="0" xfId="0" applyNumberFormat="1" applyFont="1" applyFill="1" applyAlignment="1">
      <alignment horizontal="left"/>
    </xf>
    <xf numFmtId="10" fontId="12" fillId="38" borderId="0" xfId="2" applyNumberFormat="1" applyFont="1" applyFill="1" applyBorder="1" applyAlignment="1">
      <alignment horizontal="center"/>
    </xf>
    <xf numFmtId="4" fontId="12" fillId="38" borderId="84" xfId="2" applyNumberFormat="1" applyFont="1" applyFill="1" applyBorder="1" applyAlignment="1">
      <alignment horizontal="center"/>
    </xf>
    <xf numFmtId="10" fontId="12" fillId="38" borderId="82" xfId="2" applyNumberFormat="1" applyFont="1" applyFill="1" applyBorder="1" applyAlignment="1">
      <alignment horizontal="center"/>
    </xf>
    <xf numFmtId="4" fontId="3" fillId="0" borderId="88" xfId="0" applyNumberFormat="1" applyFont="1" applyBorder="1" applyAlignment="1">
      <alignment horizontal="left"/>
    </xf>
    <xf numFmtId="2" fontId="10" fillId="48" borderId="87" xfId="0" applyNumberFormat="1" applyFont="1" applyFill="1" applyBorder="1" applyAlignment="1">
      <alignment horizontal="left"/>
    </xf>
    <xf numFmtId="2" fontId="10" fillId="48" borderId="88" xfId="0" applyNumberFormat="1" applyFont="1" applyFill="1" applyBorder="1" applyAlignment="1">
      <alignment horizontal="left"/>
    </xf>
    <xf numFmtId="2" fontId="95" fillId="0" borderId="0" xfId="0" applyNumberFormat="1" applyFont="1" applyProtection="1">
      <protection locked="0"/>
    </xf>
    <xf numFmtId="2" fontId="3" fillId="48" borderId="88" xfId="0" applyNumberFormat="1" applyFont="1" applyFill="1" applyBorder="1" applyAlignment="1">
      <alignment horizontal="left"/>
    </xf>
    <xf numFmtId="2" fontId="46" fillId="7" borderId="87" xfId="0" applyNumberFormat="1" applyFont="1" applyFill="1" applyBorder="1" applyAlignment="1">
      <alignment horizontal="left"/>
    </xf>
    <xf numFmtId="2" fontId="10" fillId="48" borderId="89" xfId="0" applyNumberFormat="1" applyFont="1" applyFill="1" applyBorder="1" applyAlignment="1">
      <alignment horizontal="left"/>
    </xf>
    <xf numFmtId="4" fontId="46" fillId="48" borderId="90" xfId="0" applyNumberFormat="1" applyFont="1" applyFill="1" applyBorder="1" applyAlignment="1">
      <alignment horizontal="left"/>
    </xf>
    <xf numFmtId="2" fontId="105" fillId="27" borderId="0" xfId="0" applyNumberFormat="1" applyFont="1" applyFill="1"/>
    <xf numFmtId="2" fontId="105" fillId="49" borderId="0" xfId="0" applyNumberFormat="1" applyFont="1" applyFill="1"/>
    <xf numFmtId="169" fontId="105" fillId="27" borderId="0" xfId="0" applyNumberFormat="1" applyFont="1" applyFill="1"/>
    <xf numFmtId="2" fontId="106" fillId="0" borderId="0" xfId="0" applyNumberFormat="1" applyFont="1"/>
    <xf numFmtId="1" fontId="10" fillId="6" borderId="68" xfId="0" applyNumberFormat="1" applyFont="1" applyFill="1" applyBorder="1" applyAlignment="1">
      <alignment horizontal="right"/>
    </xf>
    <xf numFmtId="2" fontId="46" fillId="6" borderId="68" xfId="0" applyNumberFormat="1" applyFont="1" applyFill="1" applyBorder="1" applyAlignment="1">
      <alignment horizontal="right"/>
    </xf>
    <xf numFmtId="2" fontId="10" fillId="50" borderId="68" xfId="0" applyNumberFormat="1" applyFont="1" applyFill="1" applyBorder="1"/>
    <xf numFmtId="1" fontId="10" fillId="0" borderId="68" xfId="0" applyNumberFormat="1" applyFont="1" applyBorder="1" applyAlignment="1">
      <alignment horizontal="right"/>
    </xf>
    <xf numFmtId="9" fontId="10" fillId="0" borderId="68" xfId="2" applyFont="1" applyBorder="1" applyAlignment="1">
      <alignment horizontal="right"/>
    </xf>
    <xf numFmtId="2" fontId="10" fillId="28" borderId="68" xfId="0" applyNumberFormat="1" applyFont="1" applyFill="1" applyBorder="1"/>
    <xf numFmtId="2" fontId="12" fillId="6" borderId="68" xfId="0" applyNumberFormat="1" applyFont="1" applyFill="1" applyBorder="1" applyAlignment="1">
      <alignment horizontal="right"/>
    </xf>
    <xf numFmtId="2" fontId="10" fillId="6" borderId="106" xfId="0" applyNumberFormat="1" applyFont="1" applyFill="1" applyBorder="1"/>
    <xf numFmtId="2" fontId="10" fillId="0" borderId="106" xfId="0" applyNumberFormat="1" applyFont="1" applyBorder="1"/>
    <xf numFmtId="1" fontId="21" fillId="6" borderId="68" xfId="0" applyNumberFormat="1" applyFont="1" applyFill="1" applyBorder="1" applyAlignment="1">
      <alignment horizontal="right"/>
    </xf>
    <xf numFmtId="2" fontId="21" fillId="6" borderId="68" xfId="0" applyNumberFormat="1" applyFont="1" applyFill="1" applyBorder="1" applyAlignment="1">
      <alignment horizontal="right"/>
    </xf>
    <xf numFmtId="2" fontId="21" fillId="6" borderId="68" xfId="0" applyNumberFormat="1" applyFont="1" applyFill="1" applyBorder="1" applyAlignment="1">
      <alignment horizontal="left"/>
    </xf>
    <xf numFmtId="169" fontId="107" fillId="6" borderId="68" xfId="0" applyNumberFormat="1" applyFont="1" applyFill="1" applyBorder="1"/>
    <xf numFmtId="2" fontId="21" fillId="50" borderId="68" xfId="0" applyNumberFormat="1" applyFont="1" applyFill="1" applyBorder="1" applyAlignment="1">
      <alignment horizontal="left"/>
    </xf>
    <xf numFmtId="2" fontId="21" fillId="0" borderId="0" xfId="0" applyNumberFormat="1" applyFont="1" applyAlignment="1">
      <alignment horizontal="left"/>
    </xf>
    <xf numFmtId="168" fontId="10" fillId="6" borderId="68" xfId="0" applyNumberFormat="1" applyFont="1" applyFill="1" applyBorder="1"/>
    <xf numFmtId="9" fontId="13" fillId="40" borderId="68" xfId="2" applyFont="1" applyFill="1" applyBorder="1" applyAlignment="1">
      <alignment horizontal="right"/>
    </xf>
    <xf numFmtId="2" fontId="21" fillId="6" borderId="68" xfId="0" applyNumberFormat="1" applyFont="1" applyFill="1" applyBorder="1"/>
    <xf numFmtId="2" fontId="21" fillId="7" borderId="63" xfId="0" applyNumberFormat="1" applyFont="1" applyFill="1" applyBorder="1" applyAlignment="1">
      <alignment horizontal="left"/>
    </xf>
    <xf numFmtId="2" fontId="21" fillId="50" borderId="68" xfId="0" applyNumberFormat="1" applyFont="1" applyFill="1" applyBorder="1"/>
    <xf numFmtId="1" fontId="21" fillId="40" borderId="68" xfId="0" applyNumberFormat="1" applyFont="1" applyFill="1" applyBorder="1" applyAlignment="1">
      <alignment horizontal="right"/>
    </xf>
    <xf numFmtId="1" fontId="107" fillId="40" borderId="68" xfId="0" applyNumberFormat="1" applyFont="1" applyFill="1" applyBorder="1" applyAlignment="1">
      <alignment horizontal="right"/>
    </xf>
    <xf numFmtId="2" fontId="65" fillId="17" borderId="68" xfId="0" applyNumberFormat="1" applyFont="1" applyFill="1" applyBorder="1"/>
    <xf numFmtId="2" fontId="21" fillId="40" borderId="68" xfId="0" applyNumberFormat="1" applyFont="1" applyFill="1" applyBorder="1" applyAlignment="1">
      <alignment horizontal="left"/>
    </xf>
    <xf numFmtId="2" fontId="65" fillId="51" borderId="68" xfId="0" applyNumberFormat="1" applyFont="1" applyFill="1" applyBorder="1"/>
    <xf numFmtId="2" fontId="107" fillId="0" borderId="0" xfId="0" applyNumberFormat="1" applyFont="1"/>
    <xf numFmtId="2" fontId="46" fillId="40" borderId="68" xfId="0" applyNumberFormat="1" applyFont="1" applyFill="1" applyBorder="1" applyAlignment="1">
      <alignment horizontal="left"/>
    </xf>
    <xf numFmtId="2" fontId="84" fillId="51" borderId="68" xfId="0" applyNumberFormat="1" applyFont="1" applyFill="1" applyBorder="1"/>
    <xf numFmtId="2" fontId="64" fillId="0" borderId="0" xfId="0" applyNumberFormat="1" applyFont="1"/>
    <xf numFmtId="2" fontId="13" fillId="0" borderId="68" xfId="0" applyNumberFormat="1" applyFont="1" applyBorder="1"/>
    <xf numFmtId="2" fontId="46" fillId="0" borderId="68" xfId="0" applyNumberFormat="1" applyFont="1" applyBorder="1" applyAlignment="1">
      <alignment horizontal="right"/>
    </xf>
    <xf numFmtId="2" fontId="46" fillId="28" borderId="68" xfId="0" applyNumberFormat="1" applyFont="1" applyFill="1" applyBorder="1"/>
    <xf numFmtId="1" fontId="3" fillId="0" borderId="68" xfId="0" applyNumberFormat="1" applyFont="1" applyBorder="1" applyAlignment="1">
      <alignment horizontal="right"/>
    </xf>
    <xf numFmtId="2" fontId="64" fillId="40" borderId="68" xfId="0" applyNumberFormat="1" applyFont="1" applyFill="1" applyBorder="1" applyAlignment="1">
      <alignment horizontal="right"/>
    </xf>
    <xf numFmtId="2" fontId="21" fillId="28" borderId="68" xfId="0" applyNumberFormat="1" applyFont="1" applyFill="1" applyBorder="1"/>
    <xf numFmtId="168" fontId="10" fillId="0" borderId="68" xfId="0" applyNumberFormat="1" applyFont="1" applyBorder="1" applyAlignment="1">
      <alignment horizontal="right"/>
    </xf>
    <xf numFmtId="2" fontId="90" fillId="6" borderId="68" xfId="0" applyNumberFormat="1" applyFont="1" applyFill="1" applyBorder="1" applyAlignment="1">
      <alignment horizontal="left"/>
    </xf>
    <xf numFmtId="2" fontId="12" fillId="50" borderId="68" xfId="0" applyNumberFormat="1" applyFont="1" applyFill="1" applyBorder="1"/>
    <xf numFmtId="2" fontId="74" fillId="40" borderId="68" xfId="0" applyNumberFormat="1" applyFont="1" applyFill="1" applyBorder="1" applyAlignment="1">
      <alignment horizontal="right"/>
    </xf>
    <xf numFmtId="2" fontId="10" fillId="50" borderId="68" xfId="0" applyNumberFormat="1" applyFont="1" applyFill="1" applyBorder="1" applyAlignment="1">
      <alignment horizontal="left"/>
    </xf>
    <xf numFmtId="9" fontId="10" fillId="6" borderId="68" xfId="2" applyFont="1" applyFill="1" applyBorder="1" applyAlignment="1">
      <alignment horizontal="right"/>
    </xf>
    <xf numFmtId="2" fontId="10" fillId="28" borderId="68" xfId="0" applyNumberFormat="1" applyFont="1" applyFill="1" applyBorder="1" applyAlignment="1">
      <alignment horizontal="left"/>
    </xf>
    <xf numFmtId="2" fontId="12" fillId="28" borderId="68" xfId="0" applyNumberFormat="1" applyFont="1" applyFill="1" applyBorder="1"/>
    <xf numFmtId="2" fontId="92" fillId="0" borderId="0" xfId="0" applyNumberFormat="1" applyFont="1" applyAlignment="1">
      <alignment horizontal="center"/>
    </xf>
    <xf numFmtId="2" fontId="10" fillId="11" borderId="68" xfId="0" applyNumberFormat="1" applyFont="1" applyFill="1" applyBorder="1" applyAlignment="1">
      <alignment horizontal="right"/>
    </xf>
    <xf numFmtId="2" fontId="91" fillId="0" borderId="68" xfId="0" applyNumberFormat="1" applyFont="1" applyBorder="1" applyAlignment="1">
      <alignment horizontal="center"/>
    </xf>
    <xf numFmtId="2" fontId="95" fillId="0" borderId="68" xfId="0" applyNumberFormat="1" applyFont="1" applyBorder="1"/>
    <xf numFmtId="2" fontId="95" fillId="28" borderId="68" xfId="0" applyNumberFormat="1" applyFont="1" applyFill="1" applyBorder="1"/>
    <xf numFmtId="2" fontId="108" fillId="0" borderId="0" xfId="0" applyNumberFormat="1" applyFont="1"/>
    <xf numFmtId="10" fontId="93" fillId="0" borderId="68" xfId="2" applyNumberFormat="1" applyFont="1" applyFill="1" applyBorder="1" applyAlignment="1">
      <alignment horizontal="right"/>
    </xf>
    <xf numFmtId="2" fontId="93" fillId="0" borderId="68" xfId="0" applyNumberFormat="1" applyFont="1" applyBorder="1" applyAlignment="1">
      <alignment horizontal="right"/>
    </xf>
    <xf numFmtId="4" fontId="109" fillId="38" borderId="68" xfId="0" applyNumberFormat="1" applyFont="1" applyFill="1" applyBorder="1" applyAlignment="1">
      <alignment horizontal="left"/>
    </xf>
    <xf numFmtId="2" fontId="110" fillId="0" borderId="0" xfId="0" applyNumberFormat="1" applyFont="1"/>
    <xf numFmtId="2" fontId="20" fillId="52" borderId="0" xfId="0" applyNumberFormat="1" applyFont="1" applyFill="1"/>
    <xf numFmtId="2" fontId="111" fillId="0" borderId="0" xfId="0" applyNumberFormat="1" applyFont="1"/>
    <xf numFmtId="17" fontId="12" fillId="0" borderId="36" xfId="0" applyNumberFormat="1" applyFont="1" applyBorder="1" applyAlignment="1" applyProtection="1">
      <alignment horizontal="center"/>
      <protection locked="0"/>
    </xf>
    <xf numFmtId="17" fontId="12" fillId="0" borderId="5" xfId="0" applyNumberFormat="1" applyFont="1" applyBorder="1" applyAlignment="1" applyProtection="1">
      <alignment horizontal="center"/>
      <protection locked="0"/>
    </xf>
    <xf numFmtId="17" fontId="12" fillId="0" borderId="0" xfId="0" applyNumberFormat="1" applyFont="1" applyAlignment="1" applyProtection="1">
      <alignment horizontal="center"/>
      <protection locked="0"/>
    </xf>
    <xf numFmtId="2" fontId="112" fillId="0" borderId="0" xfId="0" applyNumberFormat="1" applyFont="1"/>
    <xf numFmtId="2" fontId="84" fillId="0" borderId="0" xfId="0" applyNumberFormat="1" applyFont="1"/>
    <xf numFmtId="9" fontId="65" fillId="0" borderId="47" xfId="2" applyFont="1" applyBorder="1" applyAlignment="1" applyProtection="1">
      <protection locked="0"/>
    </xf>
    <xf numFmtId="9" fontId="12" fillId="0" borderId="4" xfId="2" applyFont="1" applyBorder="1" applyAlignment="1">
      <alignment horizontal="center"/>
    </xf>
    <xf numFmtId="2" fontId="0" fillId="0" borderId="94" xfId="0" applyNumberFormat="1" applyBorder="1"/>
    <xf numFmtId="2" fontId="0" fillId="0" borderId="107" xfId="0" applyNumberFormat="1" applyBorder="1"/>
    <xf numFmtId="2" fontId="51" fillId="38" borderId="95" xfId="0" applyNumberFormat="1" applyFont="1" applyFill="1" applyBorder="1"/>
    <xf numFmtId="1" fontId="12" fillId="38" borderId="19" xfId="0" applyNumberFormat="1" applyFont="1" applyFill="1" applyBorder="1" applyAlignment="1">
      <alignment horizontal="center"/>
    </xf>
    <xf numFmtId="4" fontId="68" fillId="0" borderId="96" xfId="0" applyNumberFormat="1" applyFont="1" applyBorder="1"/>
    <xf numFmtId="3" fontId="12" fillId="38" borderId="0" xfId="0" applyNumberFormat="1" applyFont="1" applyFill="1" applyAlignment="1">
      <alignment horizontal="center"/>
    </xf>
    <xf numFmtId="2" fontId="113" fillId="0" borderId="0" xfId="0" applyNumberFormat="1" applyFont="1"/>
    <xf numFmtId="1" fontId="13" fillId="38" borderId="108" xfId="0" applyNumberFormat="1" applyFont="1" applyFill="1" applyBorder="1" applyAlignment="1" applyProtection="1">
      <alignment horizontal="center"/>
      <protection locked="0"/>
    </xf>
    <xf numFmtId="3" fontId="13" fillId="38" borderId="0" xfId="0" applyNumberFormat="1" applyFont="1" applyFill="1" applyAlignment="1" applyProtection="1">
      <alignment horizontal="center"/>
      <protection locked="0"/>
    </xf>
    <xf numFmtId="1" fontId="13" fillId="38" borderId="109" xfId="0" applyNumberFormat="1" applyFont="1" applyFill="1" applyBorder="1" applyAlignment="1" applyProtection="1">
      <alignment horizontal="center"/>
      <protection locked="0"/>
    </xf>
    <xf numFmtId="1" fontId="5" fillId="8" borderId="0" xfId="0" applyNumberFormat="1" applyFont="1" applyFill="1" applyAlignment="1" applyProtection="1">
      <alignment horizontal="center"/>
      <protection locked="0"/>
    </xf>
    <xf numFmtId="2" fontId="115" fillId="0" borderId="0" xfId="0" applyNumberFormat="1" applyFont="1"/>
    <xf numFmtId="2" fontId="44" fillId="53" borderId="0" xfId="0" applyNumberFormat="1" applyFont="1" applyFill="1"/>
    <xf numFmtId="2" fontId="116" fillId="46" borderId="0" xfId="0" applyNumberFormat="1" applyFont="1" applyFill="1"/>
    <xf numFmtId="2" fontId="44" fillId="46" borderId="0" xfId="0" applyNumberFormat="1" applyFont="1" applyFill="1"/>
    <xf numFmtId="2" fontId="117" fillId="0" borderId="0" xfId="0" applyNumberFormat="1" applyFont="1"/>
    <xf numFmtId="2" fontId="3" fillId="28" borderId="3" xfId="0" applyNumberFormat="1" applyFont="1" applyFill="1" applyBorder="1"/>
    <xf numFmtId="1" fontId="46" fillId="7" borderId="62" xfId="0" applyNumberFormat="1" applyFont="1" applyFill="1" applyBorder="1" applyAlignment="1">
      <alignment horizontal="right"/>
    </xf>
    <xf numFmtId="4" fontId="10" fillId="7" borderId="62" xfId="0" applyNumberFormat="1" applyFont="1" applyFill="1" applyBorder="1" applyAlignment="1">
      <alignment horizontal="right"/>
    </xf>
    <xf numFmtId="2" fontId="10" fillId="28" borderId="63" xfId="0" applyNumberFormat="1" applyFont="1" applyFill="1" applyBorder="1" applyAlignment="1">
      <alignment horizontal="right"/>
    </xf>
    <xf numFmtId="4" fontId="10" fillId="6" borderId="62" xfId="0" applyNumberFormat="1" applyFont="1" applyFill="1" applyBorder="1"/>
    <xf numFmtId="2" fontId="10" fillId="50" borderId="63" xfId="0" applyNumberFormat="1" applyFont="1" applyFill="1" applyBorder="1"/>
    <xf numFmtId="4" fontId="10" fillId="7" borderId="62" xfId="0" applyNumberFormat="1" applyFont="1" applyFill="1" applyBorder="1"/>
    <xf numFmtId="9" fontId="10" fillId="0" borderId="62" xfId="2" applyFont="1" applyFill="1" applyBorder="1" applyAlignment="1">
      <alignment horizontal="right"/>
    </xf>
    <xf numFmtId="4" fontId="10" fillId="0" borderId="62" xfId="0" applyNumberFormat="1" applyFont="1" applyBorder="1"/>
    <xf numFmtId="1" fontId="12" fillId="6" borderId="62" xfId="0" applyNumberFormat="1" applyFont="1" applyFill="1" applyBorder="1"/>
    <xf numFmtId="1" fontId="46" fillId="40" borderId="62" xfId="0" applyNumberFormat="1" applyFont="1" applyFill="1" applyBorder="1" applyAlignment="1">
      <alignment horizontal="right"/>
    </xf>
    <xf numFmtId="4" fontId="84" fillId="17" borderId="62" xfId="0" applyNumberFormat="1" applyFont="1" applyFill="1" applyBorder="1"/>
    <xf numFmtId="2" fontId="84" fillId="51" borderId="63" xfId="0" applyNumberFormat="1" applyFont="1" applyFill="1" applyBorder="1"/>
    <xf numFmtId="4" fontId="118" fillId="17" borderId="62" xfId="0" applyNumberFormat="1" applyFont="1" applyFill="1" applyBorder="1"/>
    <xf numFmtId="1" fontId="13" fillId="0" borderId="62" xfId="0" applyNumberFormat="1" applyFont="1" applyBorder="1"/>
    <xf numFmtId="2" fontId="12" fillId="0" borderId="62" xfId="0" applyNumberFormat="1" applyFont="1" applyBorder="1" applyAlignment="1">
      <alignment horizontal="right"/>
    </xf>
    <xf numFmtId="4" fontId="12" fillId="0" borderId="62" xfId="0" applyNumberFormat="1" applyFont="1" applyBorder="1" applyAlignment="1">
      <alignment horizontal="right"/>
    </xf>
    <xf numFmtId="2" fontId="12" fillId="0" borderId="63" xfId="0" applyNumberFormat="1" applyFont="1" applyBorder="1" applyAlignment="1">
      <alignment horizontal="right"/>
    </xf>
    <xf numFmtId="1" fontId="10" fillId="6" borderId="62" xfId="0" applyNumberFormat="1" applyFont="1" applyFill="1" applyBorder="1"/>
    <xf numFmtId="4" fontId="13" fillId="6" borderId="62" xfId="0" applyNumberFormat="1" applyFont="1" applyFill="1" applyBorder="1" applyProtection="1">
      <protection locked="0"/>
    </xf>
    <xf numFmtId="1" fontId="3" fillId="0" borderId="62" xfId="0" applyNumberFormat="1" applyFont="1" applyBorder="1" applyAlignment="1">
      <alignment horizontal="right"/>
    </xf>
    <xf numFmtId="1" fontId="10" fillId="0" borderId="62" xfId="0" applyNumberFormat="1" applyFont="1" applyBorder="1"/>
    <xf numFmtId="1" fontId="12" fillId="6" borderId="62" xfId="0" applyNumberFormat="1" applyFont="1" applyFill="1" applyBorder="1" applyAlignment="1">
      <alignment horizontal="right"/>
    </xf>
    <xf numFmtId="2" fontId="10" fillId="0" borderId="63" xfId="0" applyNumberFormat="1" applyFont="1" applyBorder="1"/>
    <xf numFmtId="4" fontId="31" fillId="11" borderId="62" xfId="0" applyNumberFormat="1" applyFont="1" applyFill="1" applyBorder="1"/>
    <xf numFmtId="4" fontId="31" fillId="0" borderId="62" xfId="0" applyNumberFormat="1" applyFont="1" applyBorder="1"/>
    <xf numFmtId="1" fontId="0" fillId="7" borderId="62" xfId="0" applyNumberFormat="1" applyFill="1" applyBorder="1"/>
    <xf numFmtId="2" fontId="12" fillId="7" borderId="62" xfId="0" applyNumberFormat="1" applyFont="1" applyFill="1" applyBorder="1"/>
    <xf numFmtId="4" fontId="12" fillId="7" borderId="62" xfId="0" applyNumberFormat="1" applyFont="1" applyFill="1" applyBorder="1"/>
    <xf numFmtId="2" fontId="12" fillId="28" borderId="63" xfId="0" applyNumberFormat="1" applyFont="1" applyFill="1" applyBorder="1"/>
    <xf numFmtId="1" fontId="3" fillId="6" borderId="62" xfId="0" applyNumberFormat="1" applyFont="1" applyFill="1" applyBorder="1"/>
    <xf numFmtId="2" fontId="10" fillId="28" borderId="63" xfId="0" applyNumberFormat="1" applyFont="1" applyFill="1" applyBorder="1" applyAlignment="1">
      <alignment horizontal="left"/>
    </xf>
    <xf numFmtId="1" fontId="10" fillId="6" borderId="62" xfId="0" applyNumberFormat="1" applyFont="1" applyFill="1" applyBorder="1" applyAlignment="1">
      <alignment horizontal="center"/>
    </xf>
    <xf numFmtId="9" fontId="5" fillId="6" borderId="62" xfId="2" applyFont="1" applyFill="1" applyBorder="1" applyAlignment="1" applyProtection="1">
      <alignment horizontal="right"/>
      <protection locked="0"/>
    </xf>
    <xf numFmtId="4" fontId="10" fillId="6" borderId="62" xfId="0" applyNumberFormat="1" applyFont="1" applyFill="1" applyBorder="1" applyAlignment="1">
      <alignment horizontal="right"/>
    </xf>
    <xf numFmtId="2" fontId="10" fillId="50" borderId="63" xfId="0" applyNumberFormat="1" applyFont="1" applyFill="1" applyBorder="1" applyAlignment="1">
      <alignment horizontal="left"/>
    </xf>
    <xf numFmtId="2" fontId="3" fillId="6" borderId="70" xfId="0" applyNumberFormat="1" applyFont="1" applyFill="1" applyBorder="1"/>
    <xf numFmtId="2" fontId="12" fillId="6" borderId="70" xfId="0" applyNumberFormat="1" applyFont="1" applyFill="1" applyBorder="1"/>
    <xf numFmtId="4" fontId="12" fillId="6" borderId="70" xfId="0" applyNumberFormat="1" applyFont="1" applyFill="1" applyBorder="1"/>
    <xf numFmtId="2" fontId="12" fillId="50" borderId="71" xfId="0" applyNumberFormat="1" applyFont="1" applyFill="1" applyBorder="1"/>
    <xf numFmtId="2" fontId="10" fillId="0" borderId="71" xfId="0" applyNumberFormat="1" applyFont="1" applyBorder="1"/>
    <xf numFmtId="4" fontId="10" fillId="0" borderId="71" xfId="0" applyNumberFormat="1" applyFont="1" applyBorder="1"/>
    <xf numFmtId="2" fontId="10" fillId="28" borderId="71" xfId="0" applyNumberFormat="1" applyFont="1" applyFill="1" applyBorder="1"/>
    <xf numFmtId="2" fontId="20" fillId="33" borderId="0" xfId="0" applyNumberFormat="1" applyFont="1" applyFill="1"/>
    <xf numFmtId="2" fontId="20" fillId="33" borderId="0" xfId="0" applyNumberFormat="1" applyFont="1" applyFill="1" applyAlignment="1">
      <alignment horizontal="left"/>
    </xf>
    <xf numFmtId="2" fontId="19" fillId="33" borderId="0" xfId="0" applyNumberFormat="1" applyFont="1" applyFill="1"/>
    <xf numFmtId="4" fontId="19" fillId="33" borderId="71" xfId="0" applyNumberFormat="1" applyFont="1" applyFill="1" applyBorder="1" applyAlignment="1">
      <alignment horizontal="left"/>
    </xf>
    <xf numFmtId="2" fontId="119" fillId="33" borderId="0" xfId="0" applyNumberFormat="1" applyFont="1" applyFill="1"/>
    <xf numFmtId="2" fontId="10" fillId="11" borderId="0" xfId="0" applyNumberFormat="1" applyFont="1" applyFill="1" applyAlignment="1">
      <alignment horizontal="left"/>
    </xf>
    <xf numFmtId="4" fontId="46" fillId="0" borderId="0" xfId="0" applyNumberFormat="1" applyFont="1" applyAlignment="1">
      <alignment horizontal="left"/>
    </xf>
    <xf numFmtId="4" fontId="10" fillId="0" borderId="6" xfId="0" applyNumberFormat="1" applyFont="1" applyBorder="1" applyAlignment="1">
      <alignment horizontal="left"/>
    </xf>
    <xf numFmtId="4" fontId="10" fillId="0" borderId="6" xfId="0" applyNumberFormat="1" applyFont="1" applyBorder="1" applyAlignment="1" applyProtection="1">
      <alignment horizontal="left"/>
      <protection locked="0"/>
    </xf>
    <xf numFmtId="4" fontId="10" fillId="34" borderId="100" xfId="0" applyNumberFormat="1" applyFont="1" applyFill="1" applyBorder="1" applyAlignment="1">
      <alignment horizontal="left"/>
    </xf>
    <xf numFmtId="4" fontId="12" fillId="34" borderId="74" xfId="0" applyNumberFormat="1" applyFont="1" applyFill="1" applyBorder="1" applyAlignment="1">
      <alignment horizontal="left"/>
    </xf>
    <xf numFmtId="4" fontId="10" fillId="34" borderId="75" xfId="0" applyNumberFormat="1" applyFont="1" applyFill="1" applyBorder="1" applyAlignment="1">
      <alignment horizontal="left"/>
    </xf>
    <xf numFmtId="4" fontId="12" fillId="34" borderId="76" xfId="2" applyNumberFormat="1" applyFont="1" applyFill="1" applyBorder="1" applyAlignment="1">
      <alignment horizontal="center"/>
    </xf>
    <xf numFmtId="175" fontId="10" fillId="0" borderId="0" xfId="0" applyNumberFormat="1" applyFont="1" applyProtection="1">
      <protection locked="0"/>
    </xf>
    <xf numFmtId="175" fontId="12" fillId="0" borderId="0" xfId="0" applyNumberFormat="1" applyFont="1"/>
    <xf numFmtId="4" fontId="10" fillId="37" borderId="104" xfId="0" applyNumberFormat="1" applyFont="1" applyFill="1" applyBorder="1" applyAlignment="1">
      <alignment horizontal="left"/>
    </xf>
    <xf numFmtId="4" fontId="10" fillId="37" borderId="105" xfId="0" applyNumberFormat="1" applyFont="1" applyFill="1" applyBorder="1" applyAlignment="1">
      <alignment horizontal="left"/>
    </xf>
    <xf numFmtId="170" fontId="12" fillId="0" borderId="0" xfId="0" applyNumberFormat="1" applyFont="1"/>
    <xf numFmtId="4" fontId="10" fillId="38" borderId="110" xfId="0" applyNumberFormat="1" applyFont="1" applyFill="1" applyBorder="1" applyAlignment="1">
      <alignment horizontal="left"/>
    </xf>
    <xf numFmtId="4" fontId="10" fillId="38" borderId="83" xfId="0" applyNumberFormat="1" applyFont="1" applyFill="1" applyBorder="1" applyAlignment="1">
      <alignment horizontal="left"/>
    </xf>
    <xf numFmtId="4" fontId="10" fillId="0" borderId="0" xfId="0" applyNumberFormat="1" applyFont="1" applyAlignment="1">
      <alignment horizontal="left"/>
    </xf>
    <xf numFmtId="4" fontId="46" fillId="0" borderId="85" xfId="0" applyNumberFormat="1" applyFont="1" applyBorder="1" applyAlignment="1">
      <alignment horizontal="left"/>
    </xf>
    <xf numFmtId="4" fontId="10" fillId="0" borderId="86" xfId="0" applyNumberFormat="1" applyFont="1" applyBorder="1" applyAlignment="1">
      <alignment horizontal="left"/>
    </xf>
    <xf numFmtId="4" fontId="10" fillId="7" borderId="111" xfId="0" applyNumberFormat="1" applyFont="1" applyFill="1" applyBorder="1" applyAlignment="1">
      <alignment horizontal="left"/>
    </xf>
    <xf numFmtId="4" fontId="10" fillId="7" borderId="112" xfId="0" applyNumberFormat="1" applyFont="1" applyFill="1" applyBorder="1" applyAlignment="1">
      <alignment horizontal="left"/>
    </xf>
    <xf numFmtId="4" fontId="10" fillId="6" borderId="113" xfId="0" applyNumberFormat="1" applyFont="1" applyFill="1" applyBorder="1" applyAlignment="1">
      <alignment horizontal="left"/>
    </xf>
    <xf numFmtId="4" fontId="10" fillId="6" borderId="114" xfId="0" applyNumberFormat="1" applyFont="1" applyFill="1" applyBorder="1" applyAlignment="1">
      <alignment horizontal="left"/>
    </xf>
    <xf numFmtId="4" fontId="10" fillId="7" borderId="113" xfId="0" applyNumberFormat="1" applyFont="1" applyFill="1" applyBorder="1" applyAlignment="1">
      <alignment horizontal="left"/>
    </xf>
    <xf numFmtId="4" fontId="10" fillId="7" borderId="114" xfId="0" applyNumberFormat="1" applyFont="1" applyFill="1" applyBorder="1" applyAlignment="1">
      <alignment horizontal="left"/>
    </xf>
    <xf numFmtId="4" fontId="3" fillId="6" borderId="114" xfId="0" applyNumberFormat="1" applyFont="1" applyFill="1" applyBorder="1" applyAlignment="1">
      <alignment horizontal="left"/>
    </xf>
    <xf numFmtId="4" fontId="46" fillId="7" borderId="113" xfId="0" applyNumberFormat="1" applyFont="1" applyFill="1" applyBorder="1" applyAlignment="1">
      <alignment horizontal="left"/>
    </xf>
    <xf numFmtId="4" fontId="46" fillId="7" borderId="114" xfId="0" applyNumberFormat="1" applyFont="1" applyFill="1" applyBorder="1" applyAlignment="1">
      <alignment horizontal="left"/>
    </xf>
    <xf numFmtId="2" fontId="46" fillId="28" borderId="0" xfId="0" applyNumberFormat="1" applyFont="1" applyFill="1"/>
    <xf numFmtId="4" fontId="10" fillId="6" borderId="115" xfId="0" applyNumberFormat="1" applyFont="1" applyFill="1" applyBorder="1" applyAlignment="1">
      <alignment horizontal="left"/>
    </xf>
    <xf numFmtId="4" fontId="46" fillId="6" borderId="116" xfId="0" applyNumberFormat="1" applyFont="1" applyFill="1" applyBorder="1" applyAlignment="1">
      <alignment horizontal="left"/>
    </xf>
    <xf numFmtId="4" fontId="10" fillId="0" borderId="0" xfId="0" applyNumberFormat="1" applyFont="1"/>
    <xf numFmtId="2" fontId="95" fillId="0" borderId="0" xfId="0" applyNumberFormat="1" applyFont="1" applyAlignment="1">
      <alignment horizontal="right"/>
    </xf>
    <xf numFmtId="4" fontId="13" fillId="6" borderId="0" xfId="2" applyNumberFormat="1" applyFont="1" applyFill="1" applyAlignment="1">
      <alignment horizontal="center"/>
    </xf>
    <xf numFmtId="4" fontId="44" fillId="46" borderId="0" xfId="0" applyNumberFormat="1" applyFont="1" applyFill="1"/>
    <xf numFmtId="2" fontId="3" fillId="0" borderId="106" xfId="0" applyNumberFormat="1" applyFont="1" applyBorder="1"/>
    <xf numFmtId="4" fontId="3" fillId="0" borderId="106" xfId="0" applyNumberFormat="1" applyFont="1" applyBorder="1"/>
    <xf numFmtId="2" fontId="3" fillId="28" borderId="106" xfId="0" applyNumberFormat="1" applyFont="1" applyFill="1" applyBorder="1"/>
    <xf numFmtId="1" fontId="10" fillId="0" borderId="106" xfId="0" applyNumberFormat="1" applyFont="1" applyBorder="1" applyAlignment="1">
      <alignment horizontal="right"/>
    </xf>
    <xf numFmtId="2" fontId="46" fillId="0" borderId="106" xfId="0" applyNumberFormat="1" applyFont="1" applyBorder="1" applyAlignment="1">
      <alignment horizontal="right"/>
    </xf>
    <xf numFmtId="4" fontId="10" fillId="0" borderId="106" xfId="0" applyNumberFormat="1" applyFont="1" applyBorder="1" applyAlignment="1">
      <alignment horizontal="left"/>
    </xf>
    <xf numFmtId="4" fontId="10" fillId="0" borderId="106" xfId="0" applyNumberFormat="1" applyFont="1" applyBorder="1"/>
    <xf numFmtId="2" fontId="10" fillId="28" borderId="106" xfId="0" applyNumberFormat="1" applyFont="1" applyFill="1" applyBorder="1"/>
    <xf numFmtId="1" fontId="10" fillId="6" borderId="106" xfId="0" applyNumberFormat="1" applyFont="1" applyFill="1" applyBorder="1" applyAlignment="1">
      <alignment horizontal="right"/>
    </xf>
    <xf numFmtId="9" fontId="10" fillId="6" borderId="106" xfId="2" applyFont="1" applyFill="1" applyBorder="1" applyAlignment="1">
      <alignment horizontal="right"/>
    </xf>
    <xf numFmtId="4" fontId="10" fillId="6" borderId="106" xfId="0" applyNumberFormat="1" applyFont="1" applyFill="1" applyBorder="1" applyAlignment="1">
      <alignment horizontal="left"/>
    </xf>
    <xf numFmtId="2" fontId="10" fillId="50" borderId="106" xfId="0" applyNumberFormat="1" applyFont="1" applyFill="1" applyBorder="1"/>
    <xf numFmtId="2" fontId="12" fillId="0" borderId="106" xfId="0" applyNumberFormat="1" applyFont="1" applyBorder="1" applyAlignment="1">
      <alignment horizontal="right"/>
    </xf>
    <xf numFmtId="2" fontId="10" fillId="6" borderId="106" xfId="0" applyNumberFormat="1" applyFont="1" applyFill="1" applyBorder="1" applyAlignment="1">
      <alignment horizontal="right"/>
    </xf>
    <xf numFmtId="4" fontId="10" fillId="6" borderId="106" xfId="0" applyNumberFormat="1" applyFont="1" applyFill="1" applyBorder="1"/>
    <xf numFmtId="4" fontId="10" fillId="0" borderId="68" xfId="0" applyNumberFormat="1" applyFont="1" applyBorder="1"/>
    <xf numFmtId="2" fontId="12" fillId="0" borderId="106" xfId="0" applyNumberFormat="1" applyFont="1" applyBorder="1"/>
    <xf numFmtId="2" fontId="10" fillId="0" borderId="106" xfId="0" applyNumberFormat="1" applyFont="1" applyBorder="1" applyAlignment="1">
      <alignment horizontal="right"/>
    </xf>
    <xf numFmtId="4" fontId="10" fillId="6" borderId="68" xfId="0" applyNumberFormat="1" applyFont="1" applyFill="1" applyBorder="1"/>
    <xf numFmtId="1" fontId="10" fillId="40" borderId="106" xfId="0" applyNumberFormat="1" applyFont="1" applyFill="1" applyBorder="1" applyAlignment="1">
      <alignment horizontal="right"/>
    </xf>
    <xf numFmtId="1" fontId="13" fillId="40" borderId="106" xfId="0" applyNumberFormat="1" applyFont="1" applyFill="1" applyBorder="1" applyAlignment="1">
      <alignment horizontal="right"/>
    </xf>
    <xf numFmtId="2" fontId="84" fillId="17" borderId="106" xfId="0" applyNumberFormat="1" applyFont="1" applyFill="1" applyBorder="1"/>
    <xf numFmtId="4" fontId="10" fillId="40" borderId="106" xfId="0" applyNumberFormat="1" applyFont="1" applyFill="1" applyBorder="1" applyAlignment="1">
      <alignment horizontal="left"/>
    </xf>
    <xf numFmtId="4" fontId="46" fillId="0" borderId="106" xfId="0" applyNumberFormat="1" applyFont="1" applyBorder="1"/>
    <xf numFmtId="2" fontId="84" fillId="51" borderId="106" xfId="0" applyNumberFormat="1" applyFont="1" applyFill="1" applyBorder="1"/>
    <xf numFmtId="4" fontId="46" fillId="40" borderId="68" xfId="0" applyNumberFormat="1" applyFont="1" applyFill="1" applyBorder="1" applyAlignment="1">
      <alignment horizontal="left"/>
    </xf>
    <xf numFmtId="4" fontId="46" fillId="0" borderId="0" xfId="0" applyNumberFormat="1" applyFont="1"/>
    <xf numFmtId="2" fontId="13" fillId="40" borderId="106" xfId="0" applyNumberFormat="1" applyFont="1" applyFill="1" applyBorder="1"/>
    <xf numFmtId="2" fontId="3" fillId="6" borderId="106" xfId="0" applyNumberFormat="1" applyFont="1" applyFill="1" applyBorder="1" applyAlignment="1">
      <alignment horizontal="right"/>
    </xf>
    <xf numFmtId="4" fontId="46" fillId="0" borderId="106" xfId="0" applyNumberFormat="1" applyFont="1" applyBorder="1" applyAlignment="1">
      <alignment horizontal="center"/>
    </xf>
    <xf numFmtId="4" fontId="10" fillId="0" borderId="68" xfId="0" applyNumberFormat="1" applyFont="1" applyBorder="1" applyAlignment="1">
      <alignment horizontal="left"/>
    </xf>
    <xf numFmtId="2" fontId="3" fillId="50" borderId="106" xfId="0" applyNumberFormat="1" applyFont="1" applyFill="1" applyBorder="1" applyAlignment="1">
      <alignment horizontal="right"/>
    </xf>
    <xf numFmtId="1" fontId="3" fillId="6" borderId="106" xfId="0" applyNumberFormat="1" applyFont="1" applyFill="1" applyBorder="1" applyAlignment="1">
      <alignment horizontal="right"/>
    </xf>
    <xf numFmtId="4" fontId="13" fillId="40" borderId="106" xfId="0" applyNumberFormat="1" applyFont="1" applyFill="1" applyBorder="1" applyAlignment="1">
      <alignment horizontal="right"/>
    </xf>
    <xf numFmtId="4" fontId="64" fillId="6" borderId="106" xfId="0" applyNumberFormat="1" applyFont="1" applyFill="1" applyBorder="1"/>
    <xf numFmtId="2" fontId="12" fillId="6" borderId="106" xfId="0" applyNumberFormat="1" applyFont="1" applyFill="1" applyBorder="1" applyAlignment="1">
      <alignment horizontal="right"/>
    </xf>
    <xf numFmtId="2" fontId="31" fillId="11" borderId="68" xfId="0" applyNumberFormat="1" applyFont="1" applyFill="1" applyBorder="1"/>
    <xf numFmtId="4" fontId="31" fillId="11" borderId="68" xfId="0" applyNumberFormat="1" applyFont="1" applyFill="1" applyBorder="1" applyAlignment="1">
      <alignment horizontal="left"/>
    </xf>
    <xf numFmtId="2" fontId="0" fillId="0" borderId="106" xfId="0" applyNumberFormat="1" applyBorder="1"/>
    <xf numFmtId="4" fontId="90" fillId="0" borderId="106" xfId="0" applyNumberFormat="1" applyFont="1" applyBorder="1" applyAlignment="1">
      <alignment horizontal="left"/>
    </xf>
    <xf numFmtId="2" fontId="12" fillId="28" borderId="106" xfId="0" applyNumberFormat="1" applyFont="1" applyFill="1" applyBorder="1"/>
    <xf numFmtId="2" fontId="3" fillId="6" borderId="106" xfId="0" applyNumberFormat="1" applyFont="1" applyFill="1" applyBorder="1"/>
    <xf numFmtId="4" fontId="10" fillId="6" borderId="106" xfId="0" applyNumberFormat="1" applyFont="1" applyFill="1" applyBorder="1" applyAlignment="1">
      <alignment horizontal="right"/>
    </xf>
    <xf numFmtId="10" fontId="10" fillId="0" borderId="106" xfId="0" applyNumberFormat="1" applyFont="1" applyBorder="1" applyAlignment="1">
      <alignment horizontal="right"/>
    </xf>
    <xf numFmtId="2" fontId="10" fillId="0" borderId="106" xfId="0" applyNumberFormat="1" applyFont="1" applyBorder="1" applyAlignment="1">
      <alignment horizontal="left"/>
    </xf>
    <xf numFmtId="4" fontId="10" fillId="0" borderId="106" xfId="0" applyNumberFormat="1" applyFont="1" applyBorder="1" applyAlignment="1">
      <alignment horizontal="right"/>
    </xf>
    <xf numFmtId="2" fontId="10" fillId="28" borderId="106" xfId="0" applyNumberFormat="1" applyFont="1" applyFill="1" applyBorder="1" applyAlignment="1">
      <alignment horizontal="left"/>
    </xf>
    <xf numFmtId="9" fontId="10" fillId="0" borderId="106" xfId="2" applyFont="1" applyBorder="1" applyAlignment="1">
      <alignment horizontal="right"/>
    </xf>
    <xf numFmtId="1" fontId="10" fillId="6" borderId="106" xfId="0" applyNumberFormat="1" applyFont="1" applyFill="1" applyBorder="1" applyAlignment="1">
      <alignment horizontal="center"/>
    </xf>
    <xf numFmtId="9" fontId="13" fillId="40" borderId="106" xfId="2" applyFont="1" applyFill="1" applyBorder="1" applyAlignment="1">
      <alignment horizontal="right"/>
    </xf>
    <xf numFmtId="2" fontId="10" fillId="6" borderId="106" xfId="0" applyNumberFormat="1" applyFont="1" applyFill="1" applyBorder="1" applyAlignment="1">
      <alignment horizontal="left"/>
    </xf>
    <xf numFmtId="2" fontId="10" fillId="50" borderId="106" xfId="0" applyNumberFormat="1" applyFont="1" applyFill="1" applyBorder="1" applyAlignment="1">
      <alignment horizontal="left"/>
    </xf>
    <xf numFmtId="1" fontId="10" fillId="0" borderId="106" xfId="0" applyNumberFormat="1" applyFont="1" applyBorder="1" applyAlignment="1">
      <alignment horizontal="center"/>
    </xf>
    <xf numFmtId="2" fontId="12" fillId="6" borderId="106" xfId="0" applyNumberFormat="1" applyFont="1" applyFill="1" applyBorder="1"/>
    <xf numFmtId="4" fontId="3" fillId="6" borderId="106" xfId="0" applyNumberFormat="1" applyFont="1" applyFill="1" applyBorder="1"/>
    <xf numFmtId="4" fontId="3" fillId="6" borderId="106" xfId="0" applyNumberFormat="1" applyFont="1" applyFill="1" applyBorder="1" applyAlignment="1">
      <alignment horizontal="right"/>
    </xf>
    <xf numFmtId="2" fontId="12" fillId="50" borderId="106" xfId="0" applyNumberFormat="1" applyFont="1" applyFill="1" applyBorder="1"/>
    <xf numFmtId="4" fontId="12" fillId="0" borderId="106" xfId="0" applyNumberFormat="1" applyFont="1" applyBorder="1"/>
    <xf numFmtId="4" fontId="91" fillId="0" borderId="106" xfId="0" applyNumberFormat="1" applyFont="1" applyBorder="1" applyAlignment="1">
      <alignment horizontal="center"/>
    </xf>
    <xf numFmtId="2" fontId="10" fillId="11" borderId="106" xfId="0" applyNumberFormat="1" applyFont="1" applyFill="1" applyBorder="1" applyAlignment="1">
      <alignment horizontal="left"/>
    </xf>
    <xf numFmtId="2" fontId="46" fillId="0" borderId="0" xfId="0" applyNumberFormat="1" applyFont="1" applyAlignment="1">
      <alignment horizontal="left"/>
    </xf>
    <xf numFmtId="2" fontId="46" fillId="42" borderId="106" xfId="0" applyNumberFormat="1" applyFont="1" applyFill="1" applyBorder="1"/>
    <xf numFmtId="2" fontId="93" fillId="43" borderId="68" xfId="0" applyNumberFormat="1" applyFont="1" applyFill="1" applyBorder="1" applyAlignment="1">
      <alignment horizontal="left"/>
    </xf>
    <xf numFmtId="2" fontId="46" fillId="0" borderId="106" xfId="0" applyNumberFormat="1" applyFont="1" applyBorder="1"/>
    <xf numFmtId="2" fontId="10" fillId="0" borderId="106" xfId="0" applyNumberFormat="1" applyFont="1" applyBorder="1" applyAlignment="1">
      <alignment horizontal="center"/>
    </xf>
    <xf numFmtId="2" fontId="95" fillId="0" borderId="106" xfId="0" applyNumberFormat="1" applyFont="1" applyBorder="1"/>
    <xf numFmtId="2" fontId="46" fillId="45" borderId="68" xfId="0" applyNumberFormat="1" applyFont="1" applyFill="1" applyBorder="1"/>
    <xf numFmtId="2" fontId="93" fillId="45" borderId="68" xfId="0" applyNumberFormat="1" applyFont="1" applyFill="1" applyBorder="1" applyAlignment="1">
      <alignment horizontal="left"/>
    </xf>
    <xf numFmtId="2" fontId="95" fillId="28" borderId="106" xfId="0" applyNumberFormat="1" applyFont="1" applyFill="1" applyBorder="1"/>
    <xf numFmtId="2" fontId="90" fillId="0" borderId="106" xfId="0" applyNumberFormat="1" applyFont="1" applyBorder="1" applyAlignment="1">
      <alignment horizontal="left"/>
    </xf>
    <xf numFmtId="2" fontId="90" fillId="0" borderId="106" xfId="0" applyNumberFormat="1" applyFont="1" applyBorder="1" applyAlignment="1">
      <alignment horizontal="right"/>
    </xf>
    <xf numFmtId="2" fontId="3" fillId="0" borderId="106" xfId="0" applyNumberFormat="1" applyFont="1" applyBorder="1" applyAlignment="1">
      <alignment horizontal="right"/>
    </xf>
    <xf numFmtId="2" fontId="95" fillId="38" borderId="106" xfId="0" applyNumberFormat="1" applyFont="1" applyFill="1" applyBorder="1"/>
    <xf numFmtId="2" fontId="120" fillId="38" borderId="106" xfId="0" applyNumberFormat="1" applyFont="1" applyFill="1" applyBorder="1" applyAlignment="1">
      <alignment horizontal="left"/>
    </xf>
    <xf numFmtId="2" fontId="20" fillId="28" borderId="106" xfId="0" applyNumberFormat="1" applyFont="1" applyFill="1" applyBorder="1"/>
    <xf numFmtId="2" fontId="121" fillId="3" borderId="0" xfId="0" applyNumberFormat="1" applyFont="1" applyFill="1"/>
    <xf numFmtId="2" fontId="10" fillId="8" borderId="23" xfId="0" applyNumberFormat="1" applyFont="1" applyFill="1" applyBorder="1"/>
    <xf numFmtId="2" fontId="10" fillId="22" borderId="23" xfId="0" applyNumberFormat="1" applyFont="1" applyFill="1" applyBorder="1"/>
    <xf numFmtId="2" fontId="10" fillId="22" borderId="120" xfId="0" applyNumberFormat="1" applyFont="1" applyFill="1" applyBorder="1"/>
    <xf numFmtId="2" fontId="2" fillId="0" borderId="0" xfId="3" applyNumberFormat="1" applyAlignment="1"/>
    <xf numFmtId="2" fontId="91" fillId="0" borderId="0" xfId="0" applyNumberFormat="1" applyFont="1"/>
    <xf numFmtId="168" fontId="10" fillId="0" borderId="0" xfId="0" applyNumberFormat="1" applyFont="1"/>
    <xf numFmtId="4" fontId="10" fillId="29" borderId="62" xfId="0" applyNumberFormat="1" applyFont="1" applyFill="1" applyBorder="1"/>
    <xf numFmtId="4" fontId="10" fillId="6" borderId="65" xfId="0" applyNumberFormat="1" applyFont="1" applyFill="1" applyBorder="1"/>
    <xf numFmtId="4" fontId="10" fillId="7" borderId="66" xfId="0" applyNumberFormat="1" applyFont="1" applyFill="1" applyBorder="1"/>
    <xf numFmtId="4" fontId="76" fillId="32" borderId="5" xfId="0" applyNumberFormat="1" applyFont="1" applyFill="1" applyBorder="1"/>
    <xf numFmtId="4" fontId="10" fillId="6" borderId="66" xfId="0" applyNumberFormat="1" applyFont="1" applyFill="1" applyBorder="1"/>
    <xf numFmtId="4" fontId="13" fillId="7" borderId="62" xfId="0" applyNumberFormat="1" applyFont="1" applyFill="1" applyBorder="1" applyProtection="1">
      <protection locked="0"/>
    </xf>
    <xf numFmtId="4" fontId="46" fillId="6" borderId="62" xfId="0" applyNumberFormat="1" applyFont="1" applyFill="1" applyBorder="1"/>
    <xf numFmtId="4" fontId="46" fillId="7" borderId="62" xfId="0" applyNumberFormat="1" applyFont="1" applyFill="1" applyBorder="1"/>
    <xf numFmtId="2" fontId="0" fillId="0" borderId="0" xfId="0" applyNumberFormat="1"/>
    <xf numFmtId="17" fontId="126" fillId="6" borderId="0" xfId="0" applyNumberFormat="1" applyFont="1" applyFill="1" applyAlignment="1">
      <alignment horizontal="center"/>
    </xf>
    <xf numFmtId="10" fontId="126" fillId="6" borderId="0" xfId="2" applyNumberFormat="1" applyFont="1" applyFill="1" applyAlignment="1">
      <alignment horizontal="center"/>
    </xf>
    <xf numFmtId="2" fontId="126" fillId="6" borderId="0" xfId="0" applyNumberFormat="1" applyFont="1" applyFill="1" applyAlignment="1">
      <alignment horizontal="center"/>
    </xf>
    <xf numFmtId="176" fontId="10" fillId="0" borderId="68" xfId="2" applyNumberFormat="1" applyFont="1" applyBorder="1" applyAlignment="1">
      <alignment horizontal="left"/>
    </xf>
    <xf numFmtId="2" fontId="10" fillId="11" borderId="0" xfId="0" applyNumberFormat="1" applyFont="1" applyFill="1"/>
    <xf numFmtId="0" fontId="49" fillId="0" borderId="0" xfId="0" applyFont="1"/>
    <xf numFmtId="2" fontId="127" fillId="10" borderId="0" xfId="0" applyNumberFormat="1" applyFont="1" applyFill="1" applyAlignment="1">
      <alignment vertical="center"/>
    </xf>
    <xf numFmtId="2" fontId="129" fillId="10" borderId="0" xfId="0" applyNumberFormat="1" applyFont="1" applyFill="1"/>
    <xf numFmtId="2" fontId="100" fillId="0" borderId="33" xfId="0" applyNumberFormat="1" applyFont="1" applyBorder="1" applyProtection="1">
      <protection locked="0"/>
    </xf>
    <xf numFmtId="1" fontId="7" fillId="0" borderId="33" xfId="0" applyNumberFormat="1" applyFont="1" applyBorder="1" applyProtection="1">
      <protection locked="0"/>
    </xf>
    <xf numFmtId="2" fontId="0" fillId="0" borderId="0" xfId="0" applyNumberFormat="1"/>
    <xf numFmtId="2" fontId="19" fillId="0" borderId="0" xfId="0" applyNumberFormat="1" applyFont="1"/>
    <xf numFmtId="1" fontId="64" fillId="6" borderId="0" xfId="0" applyNumberFormat="1" applyFont="1" applyFill="1" applyBorder="1" applyProtection="1">
      <protection locked="0"/>
    </xf>
    <xf numFmtId="2" fontId="10" fillId="7" borderId="0" xfId="0" applyNumberFormat="1" applyFont="1" applyFill="1" applyBorder="1"/>
    <xf numFmtId="2" fontId="10" fillId="0" borderId="71" xfId="0" applyNumberFormat="1" applyFont="1" applyFill="1" applyBorder="1"/>
    <xf numFmtId="2" fontId="10" fillId="5" borderId="71" xfId="0" applyNumberFormat="1" applyFont="1" applyFill="1" applyBorder="1"/>
    <xf numFmtId="2" fontId="10" fillId="56" borderId="71" xfId="0" applyNumberFormat="1" applyFont="1" applyFill="1" applyBorder="1"/>
    <xf numFmtId="2" fontId="10" fillId="55" borderId="62" xfId="0" applyNumberFormat="1" applyFont="1" applyFill="1" applyBorder="1"/>
    <xf numFmtId="2" fontId="10" fillId="5" borderId="63" xfId="0" applyNumberFormat="1" applyFont="1" applyFill="1" applyBorder="1"/>
    <xf numFmtId="0" fontId="130" fillId="57" borderId="122" xfId="0" applyFont="1" applyFill="1" applyBorder="1" applyAlignment="1">
      <alignment horizontal="left" vertical="center" wrapText="1"/>
    </xf>
    <xf numFmtId="4" fontId="78" fillId="47" borderId="62" xfId="0" applyNumberFormat="1" applyFont="1" applyFill="1" applyBorder="1"/>
    <xf numFmtId="4" fontId="78" fillId="47" borderId="121" xfId="0" applyNumberFormat="1" applyFont="1" applyFill="1" applyBorder="1"/>
    <xf numFmtId="1" fontId="78" fillId="47" borderId="64" xfId="0" applyNumberFormat="1" applyFont="1" applyFill="1" applyBorder="1"/>
    <xf numFmtId="1" fontId="78" fillId="58" borderId="64" xfId="0" applyNumberFormat="1" applyFont="1" applyFill="1" applyBorder="1"/>
    <xf numFmtId="1" fontId="78" fillId="11" borderId="0" xfId="0" applyNumberFormat="1" applyFont="1" applyFill="1" applyBorder="1"/>
    <xf numFmtId="1" fontId="78" fillId="58" borderId="0" xfId="0" applyNumberFormat="1" applyFont="1" applyFill="1" applyBorder="1"/>
    <xf numFmtId="1" fontId="78" fillId="11" borderId="68" xfId="0" applyNumberFormat="1" applyFont="1" applyFill="1" applyBorder="1" applyAlignment="1">
      <alignment horizontal="right"/>
    </xf>
    <xf numFmtId="2" fontId="78" fillId="47" borderId="62" xfId="0" applyNumberFormat="1" applyFont="1" applyFill="1" applyBorder="1"/>
    <xf numFmtId="9" fontId="132" fillId="11" borderId="0" xfId="2" applyNumberFormat="1" applyFont="1" applyFill="1" applyAlignment="1">
      <alignment horizontal="center"/>
    </xf>
    <xf numFmtId="4" fontId="78" fillId="58" borderId="62" xfId="0" applyNumberFormat="1" applyFont="1" applyFill="1" applyBorder="1" applyAlignment="1">
      <alignment horizontal="center"/>
    </xf>
    <xf numFmtId="1" fontId="3" fillId="0" borderId="68" xfId="0" applyNumberFormat="1" applyFont="1" applyBorder="1" applyAlignment="1">
      <alignment horizontal="center"/>
    </xf>
    <xf numFmtId="164" fontId="12" fillId="0" borderId="68" xfId="0" applyNumberFormat="1" applyFont="1" applyBorder="1" applyAlignment="1">
      <alignment horizontal="right"/>
    </xf>
    <xf numFmtId="1" fontId="131" fillId="47" borderId="62" xfId="0" applyNumberFormat="1" applyFont="1" applyFill="1" applyBorder="1" applyAlignment="1">
      <alignment horizontal="right"/>
    </xf>
    <xf numFmtId="1" fontId="133" fillId="55" borderId="62" xfId="0" applyNumberFormat="1" applyFont="1" applyFill="1" applyBorder="1" applyAlignment="1">
      <alignment horizontal="right"/>
    </xf>
    <xf numFmtId="2" fontId="133" fillId="55" borderId="62" xfId="0" applyNumberFormat="1" applyFont="1" applyFill="1" applyBorder="1" applyAlignment="1">
      <alignment horizontal="left"/>
    </xf>
    <xf numFmtId="1" fontId="133" fillId="0" borderId="62" xfId="0" applyNumberFormat="1" applyFont="1" applyFill="1" applyBorder="1" applyAlignment="1">
      <alignment horizontal="right"/>
    </xf>
    <xf numFmtId="2" fontId="133" fillId="0" borderId="62" xfId="0" applyNumberFormat="1" applyFont="1" applyFill="1" applyBorder="1" applyAlignment="1">
      <alignment horizontal="left"/>
    </xf>
    <xf numFmtId="2" fontId="31" fillId="47" borderId="62" xfId="0" applyNumberFormat="1" applyFont="1" applyFill="1" applyBorder="1"/>
    <xf numFmtId="4" fontId="31" fillId="58" borderId="62" xfId="0" applyNumberFormat="1" applyFont="1" applyFill="1" applyBorder="1" applyAlignment="1">
      <alignment horizontal="center"/>
    </xf>
    <xf numFmtId="1" fontId="78" fillId="47" borderId="62" xfId="0" applyNumberFormat="1" applyFont="1" applyFill="1" applyBorder="1" applyAlignment="1">
      <alignment horizontal="right"/>
    </xf>
    <xf numFmtId="1" fontId="10" fillId="6" borderId="0" xfId="0" applyNumberFormat="1" applyFont="1" applyFill="1" applyBorder="1" applyAlignment="1">
      <alignment horizontal="right"/>
    </xf>
    <xf numFmtId="2" fontId="10" fillId="0" borderId="0" xfId="0" applyNumberFormat="1" applyFont="1" applyBorder="1"/>
    <xf numFmtId="4" fontId="10" fillId="6" borderId="0" xfId="0" applyNumberFormat="1" applyFont="1" applyFill="1" applyBorder="1" applyAlignment="1">
      <alignment horizontal="left"/>
    </xf>
    <xf numFmtId="1" fontId="31" fillId="11" borderId="62" xfId="0" applyNumberFormat="1" applyFont="1" applyFill="1" applyBorder="1"/>
    <xf numFmtId="1" fontId="78" fillId="58" borderId="62" xfId="0" applyNumberFormat="1" applyFont="1" applyFill="1" applyBorder="1" applyAlignment="1">
      <alignment horizontal="right"/>
    </xf>
    <xf numFmtId="1" fontId="78" fillId="11" borderId="62" xfId="0" applyNumberFormat="1" applyFont="1" applyFill="1" applyBorder="1" applyAlignment="1">
      <alignment horizontal="right"/>
    </xf>
    <xf numFmtId="1" fontId="78" fillId="11" borderId="62" xfId="0" applyNumberFormat="1" applyFont="1" applyFill="1" applyBorder="1"/>
    <xf numFmtId="4" fontId="31" fillId="58" borderId="62" xfId="0" applyNumberFormat="1" applyFont="1" applyFill="1" applyBorder="1"/>
    <xf numFmtId="9" fontId="134" fillId="11" borderId="0" xfId="2" applyNumberFormat="1" applyFont="1" applyFill="1" applyAlignment="1">
      <alignment horizontal="center"/>
    </xf>
    <xf numFmtId="166" fontId="65" fillId="0" borderId="123" xfId="2" applyNumberFormat="1" applyFont="1" applyFill="1" applyBorder="1" applyAlignment="1" applyProtection="1">
      <protection locked="0"/>
    </xf>
    <xf numFmtId="4" fontId="136" fillId="26" borderId="107" xfId="2" applyNumberFormat="1" applyFont="1" applyFill="1" applyBorder="1" applyAlignment="1">
      <alignment horizontal="center"/>
    </xf>
    <xf numFmtId="166" fontId="14" fillId="59" borderId="0" xfId="2" applyNumberFormat="1" applyFont="1" applyFill="1" applyBorder="1" applyAlignment="1" applyProtection="1">
      <alignment horizontal="center"/>
      <protection locked="0"/>
    </xf>
    <xf numFmtId="166" fontId="13" fillId="26" borderId="0" xfId="0" applyNumberFormat="1" applyFont="1" applyFill="1" applyBorder="1"/>
    <xf numFmtId="2" fontId="44" fillId="8" borderId="118" xfId="0" applyNumberFormat="1" applyFont="1" applyFill="1" applyBorder="1"/>
    <xf numFmtId="2" fontId="0" fillId="0" borderId="0" xfId="0" applyNumberFormat="1"/>
    <xf numFmtId="2" fontId="122" fillId="8" borderId="118" xfId="3" applyNumberFormat="1" applyFont="1" applyFill="1" applyBorder="1" applyAlignment="1"/>
    <xf numFmtId="2" fontId="111" fillId="0" borderId="0" xfId="0" applyNumberFormat="1" applyFont="1"/>
    <xf numFmtId="2" fontId="123" fillId="8" borderId="119" xfId="0" applyNumberFormat="1" applyFont="1" applyFill="1" applyBorder="1"/>
    <xf numFmtId="2" fontId="49" fillId="0" borderId="120" xfId="0" applyNumberFormat="1" applyFont="1" applyBorder="1"/>
    <xf numFmtId="2" fontId="123" fillId="54" borderId="0" xfId="0" applyNumberFormat="1" applyFont="1" applyFill="1"/>
    <xf numFmtId="2" fontId="12" fillId="0" borderId="9" xfId="0" applyNumberFormat="1" applyFont="1" applyBorder="1"/>
    <xf numFmtId="2" fontId="49" fillId="0" borderId="28" xfId="0" applyNumberFormat="1" applyFont="1" applyBorder="1"/>
    <xf numFmtId="2" fontId="3" fillId="38" borderId="61" xfId="0" applyNumberFormat="1" applyFont="1" applyFill="1" applyBorder="1"/>
    <xf numFmtId="2" fontId="114" fillId="8" borderId="0" xfId="0" applyNumberFormat="1" applyFont="1" applyFill="1"/>
    <xf numFmtId="2" fontId="19" fillId="0" borderId="0" xfId="0" applyNumberFormat="1" applyFont="1"/>
    <xf numFmtId="2" fontId="44" fillId="8" borderId="117" xfId="0" applyNumberFormat="1" applyFont="1" applyFill="1" applyBorder="1"/>
    <xf numFmtId="2" fontId="49" fillId="0" borderId="23" xfId="0" applyNumberFormat="1" applyFont="1" applyBorder="1"/>
    <xf numFmtId="2" fontId="12" fillId="0" borderId="42" xfId="0" applyNumberFormat="1" applyFont="1" applyBorder="1"/>
    <xf numFmtId="2" fontId="66" fillId="25" borderId="44" xfId="0" applyNumberFormat="1" applyFont="1" applyFill="1" applyBorder="1"/>
    <xf numFmtId="2" fontId="19" fillId="0" borderId="44" xfId="0" applyNumberFormat="1" applyFont="1" applyBorder="1"/>
    <xf numFmtId="2" fontId="10" fillId="0" borderId="53" xfId="0" applyNumberFormat="1" applyFont="1" applyBorder="1" applyAlignment="1">
      <alignment horizontal="left"/>
    </xf>
    <xf numFmtId="2" fontId="49" fillId="0" borderId="2" xfId="0" applyNumberFormat="1" applyFont="1" applyBorder="1"/>
    <xf numFmtId="2" fontId="3" fillId="0" borderId="61" xfId="0" applyNumberFormat="1" applyFont="1" applyBorder="1"/>
    <xf numFmtId="2" fontId="3" fillId="0" borderId="0" xfId="0" applyNumberFormat="1" applyFont="1"/>
    <xf numFmtId="2" fontId="104" fillId="0" borderId="0" xfId="0" applyNumberFormat="1" applyFont="1"/>
    <xf numFmtId="2" fontId="7" fillId="0" borderId="0" xfId="0" applyNumberFormat="1" applyFont="1"/>
    <xf numFmtId="2" fontId="19" fillId="0" borderId="4" xfId="0" applyNumberFormat="1" applyFont="1" applyBorder="1"/>
    <xf numFmtId="2" fontId="49" fillId="0" borderId="4" xfId="0" applyNumberFormat="1" applyFont="1" applyBorder="1"/>
    <xf numFmtId="2" fontId="3" fillId="0" borderId="39" xfId="0" applyNumberFormat="1" applyFont="1" applyBorder="1"/>
    <xf numFmtId="2" fontId="0" fillId="0" borderId="40" xfId="0" applyNumberFormat="1" applyBorder="1"/>
    <xf numFmtId="2" fontId="29" fillId="0" borderId="0" xfId="0" applyNumberFormat="1" applyFont="1"/>
    <xf numFmtId="2" fontId="45" fillId="3" borderId="26" xfId="0" applyNumberFormat="1" applyFont="1" applyFill="1" applyBorder="1"/>
    <xf numFmtId="2" fontId="10" fillId="0" borderId="26" xfId="0" applyNumberFormat="1" applyFont="1" applyBorder="1"/>
    <xf numFmtId="2" fontId="48" fillId="0" borderId="9" xfId="0" applyNumberFormat="1" applyFont="1" applyBorder="1"/>
    <xf numFmtId="168" fontId="10" fillId="0" borderId="68" xfId="0" applyNumberFormat="1" applyFont="1" applyBorder="1"/>
    <xf numFmtId="2" fontId="137" fillId="60" borderId="0" xfId="0" applyNumberFormat="1" applyFont="1" applyFill="1"/>
    <xf numFmtId="2" fontId="10" fillId="60" borderId="0" xfId="0" applyNumberFormat="1" applyFont="1" applyFill="1"/>
    <xf numFmtId="2" fontId="138" fillId="61" borderId="0" xfId="0" applyNumberFormat="1" applyFont="1" applyFill="1" applyAlignment="1">
      <alignment vertical="center"/>
    </xf>
    <xf numFmtId="2" fontId="19" fillId="61" borderId="0" xfId="0" applyNumberFormat="1" applyFont="1" applyFill="1" applyAlignment="1">
      <alignment vertical="center"/>
    </xf>
  </cellXfs>
  <cellStyles count="4">
    <cellStyle name="Hipervínculo" xfId="3" builtinId="8"/>
    <cellStyle name="Moneda" xfId="1" builtinId="4"/>
    <cellStyle name="Normal" xfId="0" builtinId="0"/>
    <cellStyle name="Porcentaje" xfId="2" builtinId="5"/>
  </cellStyles>
  <dxfs count="7"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://www.agmeruruguay.com.ar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mailto:huttvictor@gmail.com" TargetMode="External"/><Relationship Id="rId1" Type="http://schemas.openxmlformats.org/officeDocument/2006/relationships/hyperlink" Target="about:blan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victorhutt.com.ar/" TargetMode="External"/><Relationship Id="rId4" Type="http://schemas.openxmlformats.org/officeDocument/2006/relationships/hyperlink" Target="https://www.facebook.com/agmeruruguay-188015884570012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about:b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7C6EC-89FB-4215-8AF6-3DA545D73733}">
  <dimension ref="A1:Z478"/>
  <sheetViews>
    <sheetView tabSelected="1" zoomScale="70" zoomScaleNormal="70" workbookViewId="0">
      <pane ySplit="1" topLeftCell="A2" activePane="bottomLeft" state="frozen"/>
      <selection pane="bottomLeft"/>
    </sheetView>
  </sheetViews>
  <sheetFormatPr baseColWidth="10" defaultRowHeight="15"/>
  <cols>
    <col min="1" max="1" width="13.7109375" customWidth="1"/>
    <col min="2" max="2" width="13.28515625" customWidth="1"/>
    <col min="3" max="3" width="26.140625" customWidth="1"/>
    <col min="4" max="4" width="37.28515625" bestFit="1" customWidth="1"/>
    <col min="5" max="5" width="36.28515625" customWidth="1"/>
    <col min="6" max="6" width="31.5703125" customWidth="1"/>
    <col min="7" max="7" width="18.140625" customWidth="1"/>
    <col min="8" max="8" width="28.42578125" customWidth="1"/>
    <col min="9" max="9" width="28" customWidth="1"/>
    <col min="10" max="10" width="20.5703125" customWidth="1"/>
    <col min="11" max="11" width="28.7109375" customWidth="1"/>
    <col min="12" max="12" width="28" customWidth="1"/>
    <col min="13" max="13" width="21.85546875" customWidth="1"/>
    <col min="14" max="14" width="32.7109375" customWidth="1"/>
    <col min="15" max="15" width="22.85546875" customWidth="1"/>
    <col min="16" max="16" width="18.42578125" customWidth="1"/>
    <col min="17" max="17" width="28.140625" customWidth="1"/>
    <col min="18" max="18" width="18.140625" customWidth="1"/>
    <col min="19" max="19" width="21.42578125" customWidth="1"/>
    <col min="20" max="20" width="23" customWidth="1"/>
    <col min="21" max="21" width="21" customWidth="1"/>
  </cols>
  <sheetData>
    <row r="1" spans="1:26" ht="20.25">
      <c r="A1" s="19"/>
      <c r="B1" s="20"/>
      <c r="C1" s="20"/>
      <c r="D1" s="21"/>
      <c r="E1" s="812">
        <v>46204</v>
      </c>
      <c r="F1" s="813">
        <f>Aumentojulio26</f>
        <v>6.6049999999999942E-2</v>
      </c>
      <c r="G1" s="21"/>
      <c r="H1" s="812">
        <v>46143</v>
      </c>
      <c r="I1" s="813">
        <v>3.5000000000000003E-2</v>
      </c>
      <c r="J1" s="814"/>
      <c r="K1" s="812">
        <v>46054</v>
      </c>
      <c r="L1" s="813">
        <v>0</v>
      </c>
      <c r="M1" s="814"/>
      <c r="N1" s="812">
        <v>45992</v>
      </c>
      <c r="O1" s="22"/>
      <c r="P1" s="21"/>
      <c r="Q1" s="22"/>
      <c r="R1" s="23"/>
      <c r="S1" s="21"/>
      <c r="T1" s="22"/>
      <c r="U1" s="23"/>
      <c r="V1" s="21"/>
      <c r="W1" s="22"/>
      <c r="X1" s="23"/>
      <c r="Y1" s="21"/>
      <c r="Z1" s="22"/>
    </row>
    <row r="2" spans="1:26" ht="27.75">
      <c r="A2" s="24" t="s">
        <v>387</v>
      </c>
      <c r="B2" s="25"/>
      <c r="C2" s="25"/>
      <c r="D2" s="25"/>
      <c r="E2" s="26"/>
      <c r="F2" s="27" t="s">
        <v>388</v>
      </c>
      <c r="G2" s="27"/>
      <c r="H2" s="27"/>
      <c r="I2" s="27"/>
      <c r="J2" s="28"/>
      <c r="K2" s="29"/>
      <c r="L2" s="30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6" ht="26.25">
      <c r="A3" s="899" t="s">
        <v>569</v>
      </c>
      <c r="B3" s="900"/>
      <c r="C3" s="900"/>
      <c r="D3" s="900"/>
      <c r="E3" s="32" t="s">
        <v>567</v>
      </c>
      <c r="F3" s="33"/>
      <c r="G3" s="34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4" spans="1:26" ht="27.75">
      <c r="A4" s="818" t="s">
        <v>566</v>
      </c>
      <c r="B4" s="819"/>
      <c r="C4" s="819"/>
      <c r="D4" s="897" t="s">
        <v>568</v>
      </c>
      <c r="E4" s="898"/>
      <c r="F4" s="898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</row>
    <row r="5" spans="1:26" ht="15.75">
      <c r="A5" s="36" t="s">
        <v>389</v>
      </c>
      <c r="B5" s="37"/>
      <c r="C5" s="31"/>
      <c r="D5" s="38">
        <v>1</v>
      </c>
      <c r="E5" s="38">
        <v>2</v>
      </c>
      <c r="F5" s="38">
        <v>3</v>
      </c>
      <c r="G5" s="38">
        <v>4</v>
      </c>
      <c r="H5" s="38">
        <v>5</v>
      </c>
      <c r="I5" s="38">
        <v>6</v>
      </c>
      <c r="J5" s="38">
        <v>7</v>
      </c>
      <c r="K5" s="39">
        <v>8</v>
      </c>
      <c r="L5" s="38">
        <v>9</v>
      </c>
      <c r="M5" s="38">
        <v>10</v>
      </c>
      <c r="N5" s="38">
        <v>11</v>
      </c>
      <c r="O5" s="39">
        <v>12</v>
      </c>
      <c r="P5" s="38">
        <v>13</v>
      </c>
      <c r="Q5" s="39">
        <v>14</v>
      </c>
      <c r="R5" s="38">
        <v>15</v>
      </c>
      <c r="S5" s="38">
        <v>16</v>
      </c>
      <c r="T5" s="38">
        <v>17</v>
      </c>
      <c r="U5" s="38">
        <v>18</v>
      </c>
      <c r="V5" s="38">
        <v>19</v>
      </c>
      <c r="W5" s="38">
        <v>20</v>
      </c>
    </row>
    <row r="6" spans="1:26" ht="20.25">
      <c r="A6" s="40"/>
      <c r="B6" s="41"/>
      <c r="C6" s="41"/>
      <c r="D6" s="42"/>
      <c r="E6" s="43" t="s">
        <v>390</v>
      </c>
      <c r="F6" s="44">
        <v>689853</v>
      </c>
      <c r="G6" s="45" t="s">
        <v>561</v>
      </c>
      <c r="H6" s="816"/>
      <c r="I6" s="31"/>
      <c r="J6" s="31"/>
      <c r="K6" s="31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</row>
    <row r="7" spans="1:26" ht="23.25">
      <c r="A7" s="892" t="s">
        <v>391</v>
      </c>
      <c r="B7" s="866"/>
      <c r="C7" s="866"/>
      <c r="D7" s="31"/>
      <c r="E7" s="47" t="s">
        <v>392</v>
      </c>
      <c r="F7" s="48">
        <v>1531473</v>
      </c>
      <c r="G7" s="45" t="s">
        <v>561</v>
      </c>
      <c r="H7" s="816"/>
      <c r="I7" s="31"/>
      <c r="J7" s="31"/>
      <c r="K7" s="817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6" ht="23.25">
      <c r="A8" s="19" t="s">
        <v>393</v>
      </c>
      <c r="B8" s="49"/>
      <c r="C8" s="49"/>
      <c r="D8" s="31"/>
      <c r="E8" s="50"/>
      <c r="F8" s="50"/>
      <c r="G8" s="50"/>
      <c r="H8" s="31"/>
      <c r="I8" s="31"/>
      <c r="J8" s="31"/>
      <c r="K8" s="817"/>
      <c r="L8" s="51"/>
      <c r="M8" s="31"/>
      <c r="N8" s="31"/>
      <c r="O8" s="31"/>
      <c r="P8" s="31"/>
      <c r="Q8" s="22"/>
      <c r="R8" s="31"/>
      <c r="S8" s="31"/>
      <c r="T8" s="31"/>
      <c r="U8" s="31"/>
      <c r="V8" s="31"/>
      <c r="W8" s="31"/>
    </row>
    <row r="9" spans="1:26" ht="18">
      <c r="A9" s="52" t="s">
        <v>394</v>
      </c>
      <c r="B9" s="53"/>
      <c r="C9" s="53"/>
      <c r="D9" s="54"/>
      <c r="E9" s="55" t="s">
        <v>550</v>
      </c>
      <c r="F9" s="56">
        <f>850000/F7</f>
        <v>0.55502121160477524</v>
      </c>
      <c r="G9" s="57" t="s">
        <v>395</v>
      </c>
      <c r="H9" s="58"/>
      <c r="I9" s="59" t="s">
        <v>563</v>
      </c>
      <c r="J9" s="59"/>
      <c r="K9" s="817"/>
      <c r="L9" s="52"/>
      <c r="M9" s="54"/>
      <c r="N9" s="54"/>
      <c r="O9" s="54"/>
      <c r="P9" s="54"/>
      <c r="Q9" s="22"/>
      <c r="R9" s="54"/>
      <c r="S9" s="31"/>
      <c r="T9" s="54"/>
      <c r="U9" s="54"/>
      <c r="V9" s="54"/>
      <c r="W9" s="54"/>
    </row>
    <row r="10" spans="1:26" ht="23.25">
      <c r="A10" s="60"/>
      <c r="B10" s="49"/>
      <c r="C10" s="49"/>
      <c r="D10" s="31"/>
      <c r="E10" s="61" t="s">
        <v>396</v>
      </c>
      <c r="F10" s="62">
        <f>667374/F7</f>
        <v>0.43577261891002977</v>
      </c>
      <c r="G10" s="57" t="s">
        <v>395</v>
      </c>
      <c r="H10" s="63"/>
      <c r="I10" s="59" t="s">
        <v>563</v>
      </c>
      <c r="J10" s="59"/>
      <c r="L10" s="51"/>
      <c r="M10" s="31"/>
      <c r="N10" s="31"/>
      <c r="O10" s="31"/>
      <c r="P10" s="31"/>
      <c r="Q10" s="22"/>
      <c r="R10" s="31"/>
      <c r="S10" s="31"/>
      <c r="T10" s="31"/>
      <c r="U10" s="31"/>
      <c r="V10" s="31"/>
      <c r="W10" s="31"/>
    </row>
    <row r="11" spans="1:26" ht="23.25">
      <c r="A11" s="37"/>
      <c r="B11" s="49"/>
      <c r="C11" s="49"/>
      <c r="D11" s="31"/>
      <c r="E11" s="64" t="s">
        <v>397</v>
      </c>
      <c r="F11" s="65">
        <v>0.20100000000000001</v>
      </c>
      <c r="G11" s="66" t="s">
        <v>562</v>
      </c>
      <c r="H11" s="31"/>
      <c r="I11" s="31"/>
      <c r="J11" s="31"/>
      <c r="L11" s="51"/>
      <c r="M11" s="31"/>
      <c r="N11" s="31"/>
      <c r="O11" s="31"/>
      <c r="P11" s="31"/>
      <c r="Q11" s="22"/>
      <c r="R11" s="31"/>
      <c r="S11" s="31"/>
      <c r="T11" s="31"/>
      <c r="U11" s="31"/>
      <c r="V11" s="31"/>
      <c r="W11" s="31"/>
    </row>
    <row r="12" spans="1:26" ht="23.25">
      <c r="A12" s="37"/>
      <c r="B12" s="31"/>
      <c r="C12" s="31"/>
      <c r="D12" s="31"/>
      <c r="E12" s="31"/>
      <c r="F12" s="67"/>
      <c r="G12" s="31"/>
      <c r="H12" s="31"/>
      <c r="I12" s="31"/>
      <c r="J12" s="49"/>
      <c r="K12" s="49" t="e">
        <f>F6-#REF!</f>
        <v>#REF!</v>
      </c>
      <c r="L12" s="31"/>
      <c r="M12" s="51"/>
      <c r="N12" s="31"/>
      <c r="O12" s="31"/>
      <c r="P12" s="31"/>
      <c r="Q12" s="22"/>
      <c r="R12" s="31"/>
      <c r="S12" s="31"/>
      <c r="T12" s="31"/>
      <c r="U12" s="31"/>
      <c r="V12" s="31"/>
      <c r="W12" s="31"/>
    </row>
    <row r="13" spans="1:26" ht="23.25" hidden="1">
      <c r="A13" s="68"/>
      <c r="B13" s="69"/>
      <c r="C13" s="31"/>
      <c r="D13" s="31"/>
      <c r="E13" s="31"/>
      <c r="F13" s="67"/>
      <c r="G13" s="31"/>
      <c r="H13" s="31"/>
      <c r="I13" s="31"/>
      <c r="J13" s="49"/>
      <c r="K13" s="49"/>
      <c r="L13" s="31"/>
      <c r="M13" s="51"/>
      <c r="N13" s="31"/>
      <c r="O13" s="31"/>
      <c r="P13" s="31"/>
      <c r="Q13" s="22"/>
      <c r="R13" s="31"/>
      <c r="S13" s="31"/>
      <c r="T13" s="31"/>
      <c r="U13" s="31"/>
      <c r="V13" s="31"/>
      <c r="W13" s="31"/>
    </row>
    <row r="14" spans="1:26" hidden="1">
      <c r="A14" s="68"/>
      <c r="B14" s="69"/>
      <c r="C14" s="31"/>
      <c r="D14" s="37"/>
      <c r="E14" s="37"/>
      <c r="F14" s="31"/>
      <c r="G14" s="31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</row>
    <row r="15" spans="1:26" ht="15.75" hidden="1">
      <c r="A15" s="68"/>
      <c r="B15" s="68"/>
      <c r="C15" s="49"/>
      <c r="D15" s="49"/>
      <c r="E15" s="31"/>
      <c r="F15" s="31"/>
      <c r="G15" s="31"/>
      <c r="H15" s="70"/>
      <c r="I15" s="71"/>
      <c r="J15" s="72"/>
      <c r="K15" s="72"/>
      <c r="L15" s="72"/>
      <c r="M15" s="72"/>
      <c r="N15" s="72"/>
      <c r="O15" s="72"/>
      <c r="P15" s="72"/>
      <c r="Q15" s="72"/>
      <c r="R15" s="38"/>
      <c r="S15" s="38"/>
      <c r="T15" s="38"/>
      <c r="U15" s="38"/>
      <c r="V15" s="38"/>
      <c r="W15" s="38"/>
    </row>
    <row r="16" spans="1:26" ht="18" hidden="1">
      <c r="A16" s="68"/>
      <c r="B16" s="68"/>
      <c r="C16" s="49"/>
      <c r="D16" s="73" t="s">
        <v>398</v>
      </c>
      <c r="E16" s="74"/>
      <c r="F16" s="31"/>
      <c r="G16" s="31"/>
      <c r="H16" s="22">
        <v>45658</v>
      </c>
      <c r="I16" s="75"/>
      <c r="J16" s="31"/>
      <c r="K16" s="76"/>
      <c r="L16" s="22">
        <v>45658</v>
      </c>
      <c r="M16" s="76"/>
      <c r="N16" s="76"/>
      <c r="O16" s="76"/>
      <c r="P16" s="22">
        <v>45658</v>
      </c>
      <c r="Q16" s="76"/>
      <c r="R16" s="37"/>
      <c r="S16" s="37"/>
      <c r="T16" s="22">
        <v>45658</v>
      </c>
      <c r="U16" s="37"/>
      <c r="V16" s="37"/>
      <c r="W16" s="37"/>
    </row>
    <row r="17" spans="1:23" ht="15.75" hidden="1">
      <c r="A17" s="68"/>
      <c r="B17" s="68"/>
      <c r="C17" s="49"/>
      <c r="D17" s="77" t="s">
        <v>399</v>
      </c>
      <c r="E17" s="78" t="s">
        <v>400</v>
      </c>
      <c r="F17" s="31"/>
      <c r="G17" s="31"/>
      <c r="H17" s="79"/>
      <c r="I17" s="80" t="s">
        <v>401</v>
      </c>
      <c r="J17" s="81" t="s">
        <v>402</v>
      </c>
      <c r="K17" s="82" t="s">
        <v>403</v>
      </c>
      <c r="L17" s="83" t="s">
        <v>404</v>
      </c>
      <c r="M17" s="84" t="s">
        <v>405</v>
      </c>
      <c r="N17" s="83" t="s">
        <v>406</v>
      </c>
      <c r="O17" s="83" t="s">
        <v>407</v>
      </c>
      <c r="P17" s="83" t="s">
        <v>408</v>
      </c>
      <c r="Q17" s="83" t="s">
        <v>409</v>
      </c>
      <c r="R17" s="85" t="s">
        <v>410</v>
      </c>
      <c r="S17" s="86">
        <v>1</v>
      </c>
      <c r="T17" s="86">
        <v>2</v>
      </c>
      <c r="U17" s="86">
        <v>3</v>
      </c>
      <c r="V17" s="86">
        <v>4</v>
      </c>
      <c r="W17" s="86">
        <v>5</v>
      </c>
    </row>
    <row r="18" spans="1:23" ht="15.75" hidden="1">
      <c r="A18" s="68"/>
      <c r="B18" s="68"/>
      <c r="C18" s="49"/>
      <c r="D18" s="87">
        <v>0</v>
      </c>
      <c r="E18" s="88">
        <v>0</v>
      </c>
      <c r="F18" s="31"/>
      <c r="G18" s="31"/>
      <c r="H18" s="89">
        <v>0</v>
      </c>
      <c r="I18" s="90">
        <f t="shared" ref="I18:I29" si="0">IF(OR(puntosproljor&lt;620,nina=1),W18,R18)</f>
        <v>207070.41153891236</v>
      </c>
      <c r="J18" s="91">
        <v>207070.41153891236</v>
      </c>
      <c r="K18" s="91">
        <v>147896.18150687192</v>
      </c>
      <c r="L18" s="91"/>
      <c r="M18" s="91"/>
      <c r="N18" s="91"/>
      <c r="O18" s="91"/>
      <c r="P18" s="91">
        <v>165386.9280206589</v>
      </c>
      <c r="Q18" s="91">
        <v>146546.6339336634</v>
      </c>
      <c r="R18" s="92">
        <f t="shared" ref="R18:R29" si="1">IF(PUNTOSbasicos&gt;971,Q18,P18)</f>
        <v>165386.9280206589</v>
      </c>
      <c r="S18" s="92">
        <f t="shared" ref="S18:S29" si="2">IF(PUNTOSbasicos&lt;972,J18,K18)</f>
        <v>207070.41153891236</v>
      </c>
      <c r="T18" s="92">
        <f t="shared" ref="T18:T29" si="3">IF(PUNTOSbasicos&lt;1170,S18,L18)</f>
        <v>207070.41153891236</v>
      </c>
      <c r="U18" s="92">
        <f t="shared" ref="U18:U29" si="4">IF(PUNTOSbasicos&lt;1401,T18,M18)</f>
        <v>207070.41153891236</v>
      </c>
      <c r="V18" s="92">
        <f t="shared" ref="V18:V29" si="5">IF(PUNTOSbasicos&lt;1943,U18,N18)</f>
        <v>207070.41153891236</v>
      </c>
      <c r="W18" s="92">
        <f t="shared" ref="W18:W29" si="6">IF(PUNTOSbasicos&lt;=2220,V18,O18)</f>
        <v>207070.41153891236</v>
      </c>
    </row>
    <row r="19" spans="1:23" ht="15.75" hidden="1">
      <c r="A19" s="68"/>
      <c r="B19" s="68"/>
      <c r="C19" s="49"/>
      <c r="D19" s="87">
        <v>1</v>
      </c>
      <c r="E19" s="93">
        <v>0.1</v>
      </c>
      <c r="F19" s="31"/>
      <c r="G19" s="31"/>
      <c r="H19" s="94">
        <v>0.1</v>
      </c>
      <c r="I19" s="90">
        <f t="shared" si="0"/>
        <v>253351.50628114733</v>
      </c>
      <c r="J19" s="91">
        <v>253351.50628114733</v>
      </c>
      <c r="K19" s="91">
        <v>151489.8919937209</v>
      </c>
      <c r="L19" s="91"/>
      <c r="M19" s="91"/>
      <c r="N19" s="91"/>
      <c r="O19" s="91"/>
      <c r="P19" s="91">
        <v>168980.63850750789</v>
      </c>
      <c r="Q19" s="91">
        <v>150140.34442051241</v>
      </c>
      <c r="R19" s="92">
        <f t="shared" si="1"/>
        <v>168980.63850750789</v>
      </c>
      <c r="S19" s="92">
        <f t="shared" si="2"/>
        <v>253351.50628114733</v>
      </c>
      <c r="T19" s="92">
        <f t="shared" si="3"/>
        <v>253351.50628114733</v>
      </c>
      <c r="U19" s="92">
        <f t="shared" si="4"/>
        <v>253351.50628114733</v>
      </c>
      <c r="V19" s="92">
        <f t="shared" si="5"/>
        <v>253351.50628114733</v>
      </c>
      <c r="W19" s="92">
        <f t="shared" si="6"/>
        <v>253351.50628114733</v>
      </c>
    </row>
    <row r="20" spans="1:23" ht="15.75" hidden="1">
      <c r="A20" s="68"/>
      <c r="B20" s="68"/>
      <c r="C20" s="49"/>
      <c r="D20" s="87">
        <v>2</v>
      </c>
      <c r="E20" s="93">
        <v>0.15</v>
      </c>
      <c r="F20" s="31"/>
      <c r="G20" s="31"/>
      <c r="H20" s="95">
        <v>0.15</v>
      </c>
      <c r="I20" s="90">
        <f t="shared" si="0"/>
        <v>282318.49020891357</v>
      </c>
      <c r="J20" s="91">
        <v>282318.49020891357</v>
      </c>
      <c r="K20" s="91">
        <v>183397.41554898664</v>
      </c>
      <c r="L20" s="91">
        <v>204414.52224700488</v>
      </c>
      <c r="M20" s="91">
        <v>174751.16160537963</v>
      </c>
      <c r="N20" s="91">
        <v>181830.5679428039</v>
      </c>
      <c r="O20" s="91"/>
      <c r="P20" s="91">
        <v>215261.73324974286</v>
      </c>
      <c r="Q20" s="91">
        <v>196422.70992317414</v>
      </c>
      <c r="R20" s="92">
        <f t="shared" si="1"/>
        <v>215261.73324974286</v>
      </c>
      <c r="S20" s="92">
        <f t="shared" si="2"/>
        <v>282318.49020891357</v>
      </c>
      <c r="T20" s="92">
        <f t="shared" si="3"/>
        <v>282318.49020891357</v>
      </c>
      <c r="U20" s="92">
        <f t="shared" si="4"/>
        <v>282318.49020891357</v>
      </c>
      <c r="V20" s="92">
        <f t="shared" si="5"/>
        <v>282318.49020891357</v>
      </c>
      <c r="W20" s="92">
        <f t="shared" si="6"/>
        <v>282318.49020891357</v>
      </c>
    </row>
    <row r="21" spans="1:23" ht="15.75" hidden="1">
      <c r="A21" s="68"/>
      <c r="B21" s="68"/>
      <c r="C21" s="49"/>
      <c r="D21" s="87">
        <v>5</v>
      </c>
      <c r="E21" s="93">
        <v>0.3</v>
      </c>
      <c r="F21" s="31"/>
      <c r="G21" s="31"/>
      <c r="H21" s="95">
        <v>0.3</v>
      </c>
      <c r="I21" s="90">
        <f t="shared" si="0"/>
        <v>294297.94875188579</v>
      </c>
      <c r="J21" s="91">
        <v>294297.94875188579</v>
      </c>
      <c r="K21" s="91">
        <v>188514.7677875089</v>
      </c>
      <c r="L21" s="91">
        <v>204414.52224700488</v>
      </c>
      <c r="M21" s="91">
        <v>174751.16160537963</v>
      </c>
      <c r="N21" s="91">
        <v>181830.5679428039</v>
      </c>
      <c r="O21" s="91"/>
      <c r="P21" s="91">
        <v>272215.94481625111</v>
      </c>
      <c r="Q21" s="91">
        <v>242703.80466540912</v>
      </c>
      <c r="R21" s="92">
        <f t="shared" si="1"/>
        <v>272215.94481625111</v>
      </c>
      <c r="S21" s="92">
        <f t="shared" si="2"/>
        <v>294297.94875188579</v>
      </c>
      <c r="T21" s="92">
        <f t="shared" si="3"/>
        <v>294297.94875188579</v>
      </c>
      <c r="U21" s="92">
        <f t="shared" si="4"/>
        <v>294297.94875188579</v>
      </c>
      <c r="V21" s="92">
        <f t="shared" si="5"/>
        <v>294297.94875188579</v>
      </c>
      <c r="W21" s="92">
        <f t="shared" si="6"/>
        <v>294297.94875188579</v>
      </c>
    </row>
    <row r="22" spans="1:23" ht="15.75" hidden="1">
      <c r="A22" s="68"/>
      <c r="B22" s="68"/>
      <c r="C22" s="49"/>
      <c r="D22" s="87">
        <v>7</v>
      </c>
      <c r="E22" s="93">
        <v>0.4</v>
      </c>
      <c r="F22" s="31"/>
      <c r="G22" s="31"/>
      <c r="H22" s="95">
        <v>0.4</v>
      </c>
      <c r="I22" s="90">
        <f t="shared" si="0"/>
        <v>274913.76920224132</v>
      </c>
      <c r="J22" s="91">
        <v>274913.76920224132</v>
      </c>
      <c r="K22" s="91">
        <v>193959.97621613264</v>
      </c>
      <c r="L22" s="91">
        <v>195115.09744404838</v>
      </c>
      <c r="M22" s="91">
        <v>177255.8304065039</v>
      </c>
      <c r="N22" s="91">
        <v>181830.5679428039</v>
      </c>
      <c r="O22" s="91">
        <v>167673.02602838216</v>
      </c>
      <c r="P22" s="91">
        <v>293668.92234064458</v>
      </c>
      <c r="Q22" s="91">
        <v>247561.92177687434</v>
      </c>
      <c r="R22" s="92">
        <f t="shared" si="1"/>
        <v>293668.92234064458</v>
      </c>
      <c r="S22" s="92">
        <f t="shared" si="2"/>
        <v>274913.76920224132</v>
      </c>
      <c r="T22" s="92">
        <f t="shared" si="3"/>
        <v>274913.76920224132</v>
      </c>
      <c r="U22" s="92">
        <f t="shared" si="4"/>
        <v>274913.76920224132</v>
      </c>
      <c r="V22" s="92">
        <f t="shared" si="5"/>
        <v>274913.76920224132</v>
      </c>
      <c r="W22" s="92">
        <f t="shared" si="6"/>
        <v>274913.76920224132</v>
      </c>
    </row>
    <row r="23" spans="1:23" ht="15.75" hidden="1">
      <c r="A23" s="68"/>
      <c r="B23" s="68"/>
      <c r="C23" s="49"/>
      <c r="D23" s="87">
        <v>10</v>
      </c>
      <c r="E23" s="93">
        <v>0.5</v>
      </c>
      <c r="F23" s="31"/>
      <c r="G23" s="31"/>
      <c r="H23" s="95">
        <v>0.5</v>
      </c>
      <c r="I23" s="90">
        <f t="shared" si="0"/>
        <v>251718.57913277359</v>
      </c>
      <c r="J23" s="91">
        <v>251718.57913277359</v>
      </c>
      <c r="K23" s="91">
        <v>201038.11179313014</v>
      </c>
      <c r="L23" s="91">
        <v>195115.09744404838</v>
      </c>
      <c r="M23" s="91">
        <v>177255.8304065039</v>
      </c>
      <c r="N23" s="91">
        <v>181830.5679428039</v>
      </c>
      <c r="O23" s="91">
        <v>154671.87610230289</v>
      </c>
      <c r="P23" s="91">
        <v>306082.9809495653</v>
      </c>
      <c r="Q23" s="91">
        <v>259867.96574952133</v>
      </c>
      <c r="R23" s="92">
        <f t="shared" si="1"/>
        <v>306082.9809495653</v>
      </c>
      <c r="S23" s="92">
        <f t="shared" si="2"/>
        <v>251718.57913277359</v>
      </c>
      <c r="T23" s="92">
        <f t="shared" si="3"/>
        <v>251718.57913277359</v>
      </c>
      <c r="U23" s="92">
        <f t="shared" si="4"/>
        <v>251718.57913277359</v>
      </c>
      <c r="V23" s="92">
        <f t="shared" si="5"/>
        <v>251718.57913277359</v>
      </c>
      <c r="W23" s="92">
        <f t="shared" si="6"/>
        <v>251718.57913277359</v>
      </c>
    </row>
    <row r="24" spans="1:23" ht="15.75" hidden="1">
      <c r="A24" s="68"/>
      <c r="B24" s="68"/>
      <c r="C24" s="49"/>
      <c r="D24" s="87">
        <v>12</v>
      </c>
      <c r="E24" s="93">
        <v>0.6</v>
      </c>
      <c r="F24" s="31"/>
      <c r="G24" s="31"/>
      <c r="H24" s="95">
        <v>0.6</v>
      </c>
      <c r="I24" s="90">
        <f t="shared" si="0"/>
        <v>252589.05002509736</v>
      </c>
      <c r="J24" s="91">
        <v>252589.05002509736</v>
      </c>
      <c r="K24" s="91">
        <v>198491.50789792312</v>
      </c>
      <c r="L24" s="91">
        <v>198491.50789792312</v>
      </c>
      <c r="M24" s="91">
        <v>178454.15748892914</v>
      </c>
      <c r="N24" s="91">
        <v>172313.84310687316</v>
      </c>
      <c r="O24" s="91">
        <v>162295.16790237615</v>
      </c>
      <c r="P24" s="91">
        <v>318497.03955848608</v>
      </c>
      <c r="Q24" s="91">
        <v>265311.90341771836</v>
      </c>
      <c r="R24" s="92">
        <f t="shared" si="1"/>
        <v>318497.03955848608</v>
      </c>
      <c r="S24" s="92">
        <f t="shared" si="2"/>
        <v>252589.05002509736</v>
      </c>
      <c r="T24" s="92">
        <f t="shared" si="3"/>
        <v>252589.05002509736</v>
      </c>
      <c r="U24" s="92">
        <f t="shared" si="4"/>
        <v>252589.05002509736</v>
      </c>
      <c r="V24" s="92">
        <f t="shared" si="5"/>
        <v>252589.05002509736</v>
      </c>
      <c r="W24" s="92">
        <f t="shared" si="6"/>
        <v>252589.05002509736</v>
      </c>
    </row>
    <row r="25" spans="1:23" ht="15.75" hidden="1">
      <c r="A25" s="68"/>
      <c r="B25" s="68"/>
      <c r="C25" s="49"/>
      <c r="D25" s="87">
        <v>15</v>
      </c>
      <c r="E25" s="93">
        <v>0.7</v>
      </c>
      <c r="F25" s="31"/>
      <c r="G25" s="31"/>
      <c r="H25" s="95">
        <v>0.7</v>
      </c>
      <c r="I25" s="90">
        <f t="shared" si="0"/>
        <v>232727.06455499487</v>
      </c>
      <c r="J25" s="91">
        <v>232727.06455499487</v>
      </c>
      <c r="K25" s="91">
        <v>207311.85601999488</v>
      </c>
      <c r="L25" s="91">
        <v>231596.08777518736</v>
      </c>
      <c r="M25" s="91">
        <v>175035.81194097165</v>
      </c>
      <c r="N25" s="91">
        <v>172313.84310687316</v>
      </c>
      <c r="O25" s="91">
        <v>162295.16790237615</v>
      </c>
      <c r="P25" s="91">
        <v>310941.09806103056</v>
      </c>
      <c r="Q25" s="91">
        <v>270757.1118463421</v>
      </c>
      <c r="R25" s="92">
        <f t="shared" si="1"/>
        <v>310941.09806103056</v>
      </c>
      <c r="S25" s="92">
        <f t="shared" si="2"/>
        <v>232727.06455499487</v>
      </c>
      <c r="T25" s="92">
        <f t="shared" si="3"/>
        <v>232727.06455499487</v>
      </c>
      <c r="U25" s="92">
        <f t="shared" si="4"/>
        <v>232727.06455499487</v>
      </c>
      <c r="V25" s="92">
        <f t="shared" si="5"/>
        <v>232727.06455499487</v>
      </c>
      <c r="W25" s="92">
        <f t="shared" si="6"/>
        <v>232727.06455499487</v>
      </c>
    </row>
    <row r="26" spans="1:23" ht="15.75" hidden="1">
      <c r="A26" s="68"/>
      <c r="B26" s="68"/>
      <c r="C26" s="49"/>
      <c r="D26" s="87">
        <v>17</v>
      </c>
      <c r="E26" s="93">
        <v>0.8</v>
      </c>
      <c r="F26" s="31"/>
      <c r="G26" s="31"/>
      <c r="H26" s="95">
        <v>0.8</v>
      </c>
      <c r="I26" s="90">
        <f t="shared" si="0"/>
        <v>262892.37556518632</v>
      </c>
      <c r="J26" s="91">
        <v>262892.37556518632</v>
      </c>
      <c r="K26" s="91">
        <v>228547.53351141411</v>
      </c>
      <c r="L26" s="91">
        <v>246297.5151522581</v>
      </c>
      <c r="M26" s="91">
        <v>213694.88564356012</v>
      </c>
      <c r="N26" s="91">
        <v>203893.51047203736</v>
      </c>
      <c r="O26" s="91">
        <v>168829.41801672464</v>
      </c>
      <c r="P26" s="91">
        <v>321394.37333147606</v>
      </c>
      <c r="Q26" s="91">
        <v>274241.53693649056</v>
      </c>
      <c r="R26" s="92">
        <f t="shared" si="1"/>
        <v>321394.37333147606</v>
      </c>
      <c r="S26" s="92">
        <f t="shared" si="2"/>
        <v>262892.37556518632</v>
      </c>
      <c r="T26" s="92">
        <f t="shared" si="3"/>
        <v>262892.37556518632</v>
      </c>
      <c r="U26" s="92">
        <f t="shared" si="4"/>
        <v>262892.37556518632</v>
      </c>
      <c r="V26" s="92">
        <f t="shared" si="5"/>
        <v>262892.37556518632</v>
      </c>
      <c r="W26" s="92">
        <f t="shared" si="6"/>
        <v>262892.37556518632</v>
      </c>
    </row>
    <row r="27" spans="1:23" ht="15.75" hidden="1">
      <c r="A27" s="68"/>
      <c r="B27" s="68"/>
      <c r="C27" s="49"/>
      <c r="D27" s="87">
        <v>20</v>
      </c>
      <c r="E27" s="93">
        <v>1</v>
      </c>
      <c r="F27" s="31"/>
      <c r="G27" s="31"/>
      <c r="H27" s="95">
        <v>1</v>
      </c>
      <c r="I27" s="90">
        <f t="shared" si="0"/>
        <v>304214.96312224283</v>
      </c>
      <c r="J27" s="91">
        <v>304214.96312224283</v>
      </c>
      <c r="K27" s="91">
        <v>258321.45031016661</v>
      </c>
      <c r="L27" s="91">
        <v>249670.1133248526</v>
      </c>
      <c r="M27" s="91">
        <v>208750.35682307588</v>
      </c>
      <c r="N27" s="91">
        <v>213076.02531573287</v>
      </c>
      <c r="O27" s="91">
        <v>167656.50614283441</v>
      </c>
      <c r="P27" s="91">
        <v>331707.86495497904</v>
      </c>
      <c r="Q27" s="91">
        <v>277528.99416049285</v>
      </c>
      <c r="R27" s="92">
        <f t="shared" si="1"/>
        <v>331707.86495497904</v>
      </c>
      <c r="S27" s="92">
        <f t="shared" si="2"/>
        <v>304214.96312224283</v>
      </c>
      <c r="T27" s="92">
        <f t="shared" si="3"/>
        <v>304214.96312224283</v>
      </c>
      <c r="U27" s="92">
        <f t="shared" si="4"/>
        <v>304214.96312224283</v>
      </c>
      <c r="V27" s="92">
        <f t="shared" si="5"/>
        <v>304214.96312224283</v>
      </c>
      <c r="W27" s="92">
        <f t="shared" si="6"/>
        <v>304214.96312224283</v>
      </c>
    </row>
    <row r="28" spans="1:23" ht="15.75" hidden="1">
      <c r="A28" s="68"/>
      <c r="B28" s="68"/>
      <c r="C28" s="49"/>
      <c r="D28" s="87">
        <v>22</v>
      </c>
      <c r="E28" s="93">
        <v>1.1000000000000001</v>
      </c>
      <c r="F28" s="31"/>
      <c r="G28" s="31"/>
      <c r="H28" s="95">
        <v>1.1000000000000001</v>
      </c>
      <c r="I28" s="90">
        <f t="shared" si="0"/>
        <v>330710.31801998027</v>
      </c>
      <c r="J28" s="91">
        <v>330710.31801998027</v>
      </c>
      <c r="K28" s="91">
        <v>279517.73422835657</v>
      </c>
      <c r="L28" s="91">
        <v>243895.7779457006</v>
      </c>
      <c r="M28" s="91">
        <v>208750.35682307588</v>
      </c>
      <c r="N28" s="91">
        <v>216644.32059404688</v>
      </c>
      <c r="O28" s="91">
        <v>171116.78678487465</v>
      </c>
      <c r="P28" s="91">
        <v>340467.2165765668</v>
      </c>
      <c r="Q28" s="91">
        <v>282828.0651400403</v>
      </c>
      <c r="R28" s="92">
        <f t="shared" si="1"/>
        <v>340467.2165765668</v>
      </c>
      <c r="S28" s="92">
        <f t="shared" si="2"/>
        <v>330710.31801998027</v>
      </c>
      <c r="T28" s="92">
        <f t="shared" si="3"/>
        <v>330710.31801998027</v>
      </c>
      <c r="U28" s="92">
        <f t="shared" si="4"/>
        <v>330710.31801998027</v>
      </c>
      <c r="V28" s="92">
        <f t="shared" si="5"/>
        <v>330710.31801998027</v>
      </c>
      <c r="W28" s="92">
        <f t="shared" si="6"/>
        <v>330710.31801998027</v>
      </c>
    </row>
    <row r="29" spans="1:23" ht="15.75" hidden="1">
      <c r="A29" s="68"/>
      <c r="B29" s="68"/>
      <c r="C29" s="49"/>
      <c r="D29" s="87">
        <v>24</v>
      </c>
      <c r="E29" s="93">
        <v>1.2</v>
      </c>
      <c r="F29" s="31"/>
      <c r="G29" s="31"/>
      <c r="H29" s="95">
        <v>1.2</v>
      </c>
      <c r="I29" s="90">
        <f t="shared" si="0"/>
        <v>339145.62573274679</v>
      </c>
      <c r="J29" s="91">
        <v>339145.62573274679</v>
      </c>
      <c r="K29" s="91">
        <v>284707.51981120359</v>
      </c>
      <c r="L29" s="91">
        <v>261198.4519163286</v>
      </c>
      <c r="M29" s="91">
        <v>210481.13252430936</v>
      </c>
      <c r="N29" s="91">
        <v>220104.60123608712</v>
      </c>
      <c r="O29" s="91">
        <v>171116.78678487465</v>
      </c>
      <c r="P29" s="91">
        <v>342196.72151737352</v>
      </c>
      <c r="Q29" s="91">
        <v>284773.59935339459</v>
      </c>
      <c r="R29" s="92">
        <f t="shared" si="1"/>
        <v>342196.72151737352</v>
      </c>
      <c r="S29" s="92">
        <f t="shared" si="2"/>
        <v>339145.62573274679</v>
      </c>
      <c r="T29" s="92">
        <f t="shared" si="3"/>
        <v>339145.62573274679</v>
      </c>
      <c r="U29" s="92">
        <f t="shared" si="4"/>
        <v>339145.62573274679</v>
      </c>
      <c r="V29" s="92">
        <f t="shared" si="5"/>
        <v>339145.62573274679</v>
      </c>
      <c r="W29" s="92">
        <f t="shared" si="6"/>
        <v>339145.62573274679</v>
      </c>
    </row>
    <row r="30" spans="1:23" ht="15.75" hidden="1">
      <c r="A30" s="68"/>
      <c r="B30" s="68"/>
      <c r="C30" s="49"/>
      <c r="D30" s="49"/>
      <c r="E30" s="31"/>
      <c r="F30" s="31"/>
      <c r="G30" s="31"/>
      <c r="H30" s="70"/>
      <c r="I30" s="71"/>
      <c r="J30" s="72"/>
      <c r="K30" s="72"/>
      <c r="L30" s="72"/>
      <c r="M30" s="72"/>
      <c r="N30" s="72"/>
      <c r="O30" s="72"/>
      <c r="P30" s="72"/>
      <c r="Q30" s="72"/>
      <c r="R30" s="38"/>
      <c r="S30" s="38"/>
      <c r="T30" s="38"/>
      <c r="U30" s="38"/>
      <c r="V30" s="38"/>
      <c r="W30" s="38"/>
    </row>
    <row r="31" spans="1:23" ht="15.75" hidden="1">
      <c r="A31" s="68"/>
      <c r="B31" s="68"/>
      <c r="C31" s="49"/>
      <c r="D31" s="49"/>
      <c r="E31" s="31"/>
      <c r="F31" s="31"/>
      <c r="G31" s="31"/>
      <c r="H31" s="70"/>
      <c r="I31" s="71"/>
      <c r="J31" s="72"/>
      <c r="K31" s="72"/>
      <c r="L31" s="72"/>
      <c r="M31" s="72"/>
      <c r="N31" s="72"/>
      <c r="O31" s="72"/>
      <c r="P31" s="72"/>
      <c r="Q31" s="72"/>
      <c r="R31" s="38"/>
      <c r="S31" s="38"/>
      <c r="T31" s="38"/>
      <c r="U31" s="38"/>
      <c r="V31" s="38"/>
      <c r="W31" s="38"/>
    </row>
    <row r="32" spans="1:23" ht="15.75" hidden="1">
      <c r="A32" s="68"/>
      <c r="B32" s="68"/>
      <c r="C32" s="49"/>
      <c r="D32" s="49"/>
      <c r="E32" s="31"/>
      <c r="F32" s="31"/>
      <c r="G32" s="31"/>
      <c r="H32" s="49"/>
      <c r="I32" s="49"/>
      <c r="J32" s="31"/>
      <c r="K32" s="31"/>
      <c r="L32" s="79"/>
      <c r="M32" s="75"/>
      <c r="N32" s="76"/>
      <c r="O32" s="76"/>
      <c r="P32" s="76"/>
      <c r="Q32" s="76"/>
      <c r="R32" s="76"/>
      <c r="S32" s="76"/>
      <c r="T32" s="76"/>
      <c r="U32" s="76"/>
      <c r="V32" s="96"/>
      <c r="W32" s="96"/>
    </row>
    <row r="33" spans="1:23" ht="15.75" hidden="1">
      <c r="A33" s="68"/>
      <c r="B33" s="68"/>
      <c r="C33" s="49"/>
      <c r="D33" s="49"/>
      <c r="E33" s="31"/>
      <c r="F33" s="31"/>
      <c r="G33" s="31"/>
      <c r="H33" s="49"/>
      <c r="I33" s="49"/>
      <c r="J33" s="31"/>
      <c r="K33" s="31"/>
      <c r="L33" s="79"/>
      <c r="M33" s="75"/>
      <c r="N33" s="76"/>
      <c r="O33" s="76"/>
      <c r="P33" s="76"/>
      <c r="Q33" s="76"/>
      <c r="R33" s="76"/>
      <c r="S33" s="76"/>
      <c r="T33" s="76"/>
      <c r="U33" s="76"/>
      <c r="V33" s="96"/>
      <c r="W33" s="96"/>
    </row>
    <row r="34" spans="1:23" ht="23.25" hidden="1">
      <c r="A34" s="68"/>
      <c r="B34" s="68"/>
      <c r="C34" s="49"/>
      <c r="D34" s="97">
        <f>1.53/1.47-1</f>
        <v>4.081632653061229E-2</v>
      </c>
      <c r="E34" s="31"/>
      <c r="F34" s="98"/>
      <c r="G34" s="99"/>
      <c r="H34" s="100"/>
      <c r="I34" s="100"/>
      <c r="J34" s="99"/>
      <c r="K34" s="99"/>
      <c r="L34" s="101"/>
      <c r="M34" s="102"/>
      <c r="N34" s="102"/>
      <c r="O34" s="102"/>
      <c r="P34" s="102"/>
      <c r="Q34" s="31"/>
      <c r="R34" s="31"/>
      <c r="S34" s="31"/>
      <c r="T34" s="31"/>
      <c r="U34" s="31"/>
      <c r="V34" s="31"/>
      <c r="W34" s="31"/>
    </row>
    <row r="35" spans="1:23" ht="20.25" hidden="1">
      <c r="A35" s="103"/>
      <c r="B35" s="68"/>
      <c r="C35" s="49"/>
      <c r="D35" s="49"/>
      <c r="E35" s="31"/>
      <c r="F35" s="104"/>
      <c r="G35" s="102" t="s">
        <v>411</v>
      </c>
      <c r="H35" s="105" t="s">
        <v>412</v>
      </c>
      <c r="I35" s="102" t="s">
        <v>413</v>
      </c>
      <c r="J35" s="106" t="s">
        <v>414</v>
      </c>
      <c r="K35" s="102"/>
      <c r="L35" s="107"/>
      <c r="M35" s="108"/>
      <c r="N35" s="107" t="s">
        <v>415</v>
      </c>
      <c r="O35" s="109"/>
      <c r="P35" s="110">
        <v>0.24</v>
      </c>
      <c r="Q35" s="31"/>
      <c r="R35" s="31"/>
      <c r="S35" s="31"/>
      <c r="T35" s="31"/>
      <c r="U35" s="31"/>
      <c r="V35" s="31"/>
      <c r="W35" s="31"/>
    </row>
    <row r="36" spans="1:23" ht="20.25" hidden="1">
      <c r="A36" s="111" t="s">
        <v>416</v>
      </c>
      <c r="B36" s="111"/>
      <c r="C36" s="112"/>
      <c r="D36" s="112"/>
      <c r="E36" s="31"/>
      <c r="F36" s="113"/>
      <c r="G36" s="102" t="s">
        <v>417</v>
      </c>
      <c r="H36" s="105" t="s">
        <v>418</v>
      </c>
      <c r="I36" s="102" t="s">
        <v>419</v>
      </c>
      <c r="J36" s="106" t="s">
        <v>414</v>
      </c>
      <c r="K36" s="102"/>
      <c r="L36" s="114"/>
      <c r="M36" s="108"/>
      <c r="N36" s="114" t="s">
        <v>420</v>
      </c>
      <c r="O36" s="115"/>
      <c r="P36" s="110">
        <v>0.26</v>
      </c>
      <c r="Q36" s="31"/>
      <c r="R36" s="31"/>
      <c r="S36" s="31"/>
      <c r="T36" s="31"/>
      <c r="U36" s="31"/>
      <c r="V36" s="31"/>
      <c r="W36" s="31"/>
    </row>
    <row r="37" spans="1:23" ht="20.25" hidden="1">
      <c r="A37" s="69"/>
      <c r="B37" s="69"/>
      <c r="C37" s="31"/>
      <c r="D37" s="49"/>
      <c r="E37" s="31"/>
      <c r="F37" s="113"/>
      <c r="G37" s="116" t="s">
        <v>421</v>
      </c>
      <c r="H37" s="117" t="s">
        <v>422</v>
      </c>
      <c r="I37" s="118" t="s">
        <v>423</v>
      </c>
      <c r="J37" s="76" t="s">
        <v>424</v>
      </c>
      <c r="K37" s="31"/>
      <c r="L37" s="114"/>
      <c r="M37" s="108"/>
      <c r="N37" s="114" t="s">
        <v>425</v>
      </c>
      <c r="O37" s="115"/>
      <c r="P37" s="119" t="s">
        <v>426</v>
      </c>
      <c r="Q37" s="31"/>
      <c r="R37" s="31"/>
      <c r="S37" s="31"/>
      <c r="T37" s="31"/>
      <c r="U37" s="31"/>
      <c r="V37" s="31"/>
      <c r="W37" s="31"/>
    </row>
    <row r="38" spans="1:23" ht="15.75" hidden="1">
      <c r="A38" s="69"/>
      <c r="B38" s="120"/>
      <c r="C38" s="121"/>
      <c r="D38" s="31"/>
      <c r="E38" s="31"/>
      <c r="F38" s="122"/>
      <c r="G38" s="123"/>
      <c r="H38" s="124"/>
      <c r="I38" s="124"/>
      <c r="J38" s="123"/>
      <c r="K38" s="123"/>
      <c r="L38" s="125"/>
      <c r="M38" s="31"/>
      <c r="N38" s="31"/>
      <c r="O38" s="31"/>
      <c r="P38" s="31"/>
      <c r="Q38" s="31"/>
      <c r="R38" s="31"/>
      <c r="S38" s="31"/>
      <c r="T38" s="31"/>
      <c r="U38" s="126"/>
      <c r="V38" s="126"/>
      <c r="W38" s="126"/>
    </row>
    <row r="39" spans="1:23" ht="20.25" hidden="1">
      <c r="A39" s="69"/>
      <c r="B39" s="127"/>
      <c r="C39" s="128"/>
      <c r="D39" s="128"/>
      <c r="E39" s="31"/>
      <c r="F39" s="893" t="s">
        <v>427</v>
      </c>
      <c r="G39" s="866"/>
      <c r="H39" s="866"/>
      <c r="I39" s="129"/>
      <c r="J39" s="130"/>
      <c r="K39" s="129"/>
      <c r="L39" s="31"/>
      <c r="M39" s="31"/>
      <c r="N39" s="31"/>
      <c r="O39" s="31"/>
      <c r="P39" s="31"/>
      <c r="Q39" s="31"/>
      <c r="R39" s="31"/>
      <c r="S39" s="31"/>
      <c r="T39" s="31"/>
      <c r="U39" s="131"/>
      <c r="V39" s="131"/>
      <c r="W39" s="131"/>
    </row>
    <row r="40" spans="1:23" hidden="1">
      <c r="A40" s="69"/>
      <c r="B40" s="132"/>
      <c r="C40" s="133">
        <f>1.47*1.07+0.13+1.47*0.07</f>
        <v>1.8058000000000001</v>
      </c>
      <c r="D40" s="134">
        <f>1.47*1.14</f>
        <v>1.6757999999999997</v>
      </c>
      <c r="E40" s="31"/>
      <c r="F40" s="894" t="s">
        <v>428</v>
      </c>
      <c r="G40" s="866"/>
      <c r="H40" s="31"/>
      <c r="I40" s="49"/>
      <c r="J40" s="135"/>
      <c r="K40" s="31"/>
      <c r="L40" s="31"/>
      <c r="M40" s="31"/>
      <c r="N40" s="136"/>
      <c r="O40" s="31"/>
      <c r="P40" s="31"/>
      <c r="Q40" s="136"/>
      <c r="R40" s="31"/>
      <c r="S40" s="136"/>
      <c r="T40" s="31"/>
      <c r="U40" s="31"/>
      <c r="V40" s="31"/>
      <c r="W40" s="31"/>
    </row>
    <row r="41" spans="1:23" ht="25.5" hidden="1">
      <c r="A41" s="69"/>
      <c r="B41" s="69"/>
      <c r="C41" s="137">
        <f>1.53*1.07</f>
        <v>1.6371000000000002</v>
      </c>
      <c r="D41" s="138">
        <f>1.53*1.14</f>
        <v>1.7442</v>
      </c>
      <c r="E41" s="31"/>
      <c r="F41" s="895" t="s">
        <v>429</v>
      </c>
      <c r="G41" s="873"/>
      <c r="H41" s="139"/>
      <c r="I41" s="49"/>
      <c r="J41" s="135"/>
      <c r="K41" s="31"/>
      <c r="L41" s="134"/>
      <c r="M41" s="31"/>
      <c r="N41" s="136"/>
      <c r="O41" s="31"/>
      <c r="P41" s="31"/>
      <c r="Q41" s="136"/>
      <c r="R41" s="31"/>
      <c r="S41" s="136"/>
      <c r="T41" s="31"/>
      <c r="U41" s="31"/>
      <c r="V41" s="31"/>
      <c r="W41" s="140" t="s">
        <v>430</v>
      </c>
    </row>
    <row r="42" spans="1:23" hidden="1">
      <c r="A42" s="69"/>
      <c r="B42" s="31"/>
      <c r="C42" s="14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134"/>
      <c r="R42" s="31"/>
      <c r="S42" s="31"/>
      <c r="T42" s="31"/>
      <c r="U42" s="31"/>
      <c r="V42" s="31"/>
      <c r="W42" s="31"/>
    </row>
    <row r="43" spans="1:23" hidden="1">
      <c r="A43" s="69"/>
      <c r="B43" s="69"/>
      <c r="C43" s="31" t="s">
        <v>431</v>
      </c>
      <c r="D43" s="142">
        <v>264.02777523499992</v>
      </c>
      <c r="E43" s="31" t="s">
        <v>547</v>
      </c>
      <c r="F43" s="142">
        <v>273.2688</v>
      </c>
      <c r="G43" s="31" t="s">
        <v>555</v>
      </c>
      <c r="H43" s="142">
        <v>281.46686399999999</v>
      </c>
      <c r="I43" s="31" t="s">
        <v>557</v>
      </c>
      <c r="J43" s="142">
        <v>292.72553856000002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</row>
    <row r="44" spans="1:23" hidden="1">
      <c r="A44" s="69"/>
      <c r="B44" s="69"/>
      <c r="C44" s="31" t="s">
        <v>432</v>
      </c>
      <c r="D44" s="142">
        <v>456.22564546749987</v>
      </c>
      <c r="E44" s="31" t="s">
        <v>548</v>
      </c>
      <c r="F44" s="142">
        <v>472.19349999999997</v>
      </c>
      <c r="G44" s="31" t="s">
        <v>556</v>
      </c>
      <c r="H44" s="142">
        <v>486.35930500000001</v>
      </c>
      <c r="I44" s="31" t="s">
        <v>558</v>
      </c>
      <c r="J44" s="142">
        <v>505.81367720000003</v>
      </c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</row>
    <row r="45" spans="1:23" hidden="1">
      <c r="A45" s="69"/>
      <c r="B45" s="69"/>
      <c r="C45" s="31"/>
      <c r="D45" s="142"/>
      <c r="E45" s="31"/>
      <c r="F45" s="142"/>
      <c r="G45" s="811">
        <f>indicemay26*1.03</f>
        <v>281.46686399999999</v>
      </c>
      <c r="H45" s="811"/>
      <c r="I45" s="822">
        <f>indicejul26*1.04</f>
        <v>292.72553856000002</v>
      </c>
      <c r="J45" s="811"/>
      <c r="K45" s="811"/>
      <c r="L45" s="811"/>
      <c r="M45" s="811"/>
      <c r="N45" s="811"/>
      <c r="O45" s="811"/>
      <c r="P45" s="811"/>
      <c r="Q45" s="811"/>
      <c r="R45" s="811"/>
      <c r="S45" s="811"/>
      <c r="T45" s="811"/>
      <c r="U45" s="811"/>
      <c r="V45" s="811"/>
      <c r="W45" s="811"/>
    </row>
    <row r="46" spans="1:23" hidden="1">
      <c r="A46" s="69"/>
      <c r="B46" s="69"/>
      <c r="C46" s="31" t="s">
        <v>549</v>
      </c>
      <c r="D46" s="142">
        <f>0.035</f>
        <v>3.5000000000000003E-2</v>
      </c>
      <c r="E46" s="31"/>
      <c r="F46" s="142"/>
      <c r="G46" s="822">
        <f>Indiceproljormay26*1.03</f>
        <v>486.35930500000001</v>
      </c>
      <c r="H46" s="811"/>
      <c r="I46" s="822">
        <f>Indiceproljorjul26*1.04</f>
        <v>505.81367720000003</v>
      </c>
      <c r="J46" s="811"/>
      <c r="K46" s="811"/>
      <c r="L46" s="811"/>
      <c r="M46" s="811"/>
      <c r="N46" s="811"/>
      <c r="O46" s="811"/>
      <c r="P46" s="811"/>
      <c r="Q46" s="811"/>
      <c r="R46" s="811"/>
      <c r="S46" s="811"/>
      <c r="T46" s="811"/>
      <c r="U46" s="811"/>
      <c r="V46" s="811"/>
      <c r="W46" s="811"/>
    </row>
    <row r="47" spans="1:23" hidden="1">
      <c r="A47" s="69"/>
      <c r="B47" s="69"/>
      <c r="C47" s="31" t="s">
        <v>559</v>
      </c>
      <c r="D47" s="142">
        <f>1.035*1.03-1</f>
        <v>6.6049999999999942E-2</v>
      </c>
      <c r="E47" s="31"/>
      <c r="F47" s="142"/>
      <c r="G47" s="811"/>
      <c r="H47" s="811"/>
      <c r="I47" s="811"/>
      <c r="J47" s="811"/>
      <c r="K47" s="811"/>
      <c r="L47" s="811"/>
      <c r="M47" s="811"/>
      <c r="N47" s="811"/>
      <c r="O47" s="811"/>
      <c r="P47" s="811"/>
      <c r="Q47" s="811"/>
      <c r="R47" s="811"/>
      <c r="S47" s="811"/>
      <c r="T47" s="811"/>
      <c r="U47" s="811"/>
      <c r="V47" s="811"/>
      <c r="W47" s="811"/>
    </row>
    <row r="48" spans="1:23" hidden="1">
      <c r="A48" s="69"/>
      <c r="B48" s="69"/>
      <c r="C48" s="31" t="s">
        <v>560</v>
      </c>
      <c r="D48" s="142">
        <f>(1+D47)*1.04-1</f>
        <v>0.10869200000000001</v>
      </c>
      <c r="E48" s="31"/>
      <c r="F48" s="142"/>
      <c r="G48" s="811"/>
      <c r="H48" s="811"/>
      <c r="I48" s="811"/>
      <c r="J48" s="811"/>
      <c r="K48" s="811"/>
      <c r="L48" s="811"/>
      <c r="M48" s="811"/>
      <c r="N48" s="811"/>
      <c r="O48" s="811"/>
      <c r="P48" s="811"/>
      <c r="Q48" s="811"/>
      <c r="R48" s="811"/>
      <c r="S48" s="811"/>
      <c r="T48" s="811"/>
      <c r="U48" s="811"/>
      <c r="V48" s="811"/>
      <c r="W48" s="811"/>
    </row>
    <row r="49" spans="1:26" hidden="1">
      <c r="A49" s="69"/>
      <c r="B49" s="143"/>
      <c r="C49" s="31"/>
      <c r="D49" s="31"/>
      <c r="E49" s="144"/>
      <c r="F49" s="31"/>
      <c r="G49" s="31"/>
      <c r="H49" s="145"/>
      <c r="I49" s="31"/>
      <c r="J49" s="31"/>
      <c r="K49" s="31"/>
      <c r="L49" s="31"/>
      <c r="M49" s="146">
        <f>1+0.05/1.18</f>
        <v>1.0423728813559323</v>
      </c>
      <c r="N49" s="146">
        <f>1+0.08/1.18</f>
        <v>1.0677966101694916</v>
      </c>
      <c r="O49" s="146">
        <f>1+0.1/1.18</f>
        <v>1.0847457627118644</v>
      </c>
      <c r="P49" s="146">
        <f>1+0.17/1.18</f>
        <v>1.1440677966101696</v>
      </c>
      <c r="Q49" s="146">
        <f>1+0.25/1.18</f>
        <v>1.2118644067796611</v>
      </c>
      <c r="R49" s="31"/>
      <c r="S49" s="31"/>
      <c r="T49" s="31"/>
      <c r="U49" s="31"/>
      <c r="V49" s="31"/>
      <c r="W49" s="31"/>
    </row>
    <row r="50" spans="1:26" ht="16.5" thickBot="1">
      <c r="A50" s="147"/>
      <c r="B50" s="148" t="s">
        <v>433</v>
      </c>
      <c r="C50" s="31"/>
      <c r="D50" s="31"/>
      <c r="E50" s="31"/>
      <c r="F50" s="149"/>
      <c r="G50" s="37"/>
      <c r="H50" s="150"/>
      <c r="I50" s="31"/>
      <c r="J50" s="31"/>
      <c r="K50" s="145"/>
      <c r="L50" s="31"/>
      <c r="M50" s="146"/>
      <c r="N50" s="146"/>
      <c r="O50" s="146"/>
      <c r="P50" s="146"/>
      <c r="Q50" s="146"/>
      <c r="R50" s="31"/>
      <c r="S50" s="31"/>
      <c r="T50" s="31"/>
      <c r="U50" s="31"/>
      <c r="V50" s="31"/>
      <c r="W50" s="31"/>
    </row>
    <row r="51" spans="1:26" ht="16.5" thickBot="1">
      <c r="A51" s="147"/>
      <c r="B51" s="151" t="s">
        <v>434</v>
      </c>
      <c r="C51" s="31"/>
      <c r="D51" s="31"/>
      <c r="E51" s="31"/>
      <c r="F51" s="152"/>
      <c r="G51" s="153"/>
      <c r="H51" s="31"/>
      <c r="I51" s="152"/>
      <c r="J51" s="153"/>
      <c r="K51" s="150"/>
      <c r="L51" s="31"/>
      <c r="M51" s="31"/>
      <c r="N51" s="145"/>
      <c r="O51" s="31"/>
      <c r="P51" s="31"/>
      <c r="Q51" s="31"/>
      <c r="R51" s="31"/>
      <c r="S51" s="31"/>
      <c r="T51" s="31"/>
      <c r="U51" s="31"/>
      <c r="V51" s="31"/>
      <c r="W51" s="31"/>
    </row>
    <row r="52" spans="1:26" ht="16.5" thickBot="1">
      <c r="A52" s="154"/>
      <c r="B52" s="155" t="s">
        <v>435</v>
      </c>
      <c r="C52" s="31"/>
      <c r="D52" s="31"/>
      <c r="E52" s="31"/>
      <c r="F52" s="156"/>
      <c r="G52" s="157"/>
      <c r="H52" s="31"/>
      <c r="I52" s="156"/>
      <c r="J52" s="157"/>
      <c r="K52" s="31"/>
      <c r="L52" s="31"/>
      <c r="M52" s="37"/>
      <c r="N52" s="145"/>
      <c r="O52" s="31"/>
      <c r="P52" s="31"/>
      <c r="Q52" s="31"/>
      <c r="R52" s="31"/>
      <c r="S52" s="31"/>
      <c r="T52" s="31"/>
      <c r="U52" s="31"/>
      <c r="V52" s="31"/>
      <c r="W52" s="31"/>
    </row>
    <row r="53" spans="1:26" ht="21" thickBot="1">
      <c r="A53" s="158"/>
      <c r="B53" s="155" t="s">
        <v>436</v>
      </c>
      <c r="C53" s="31"/>
      <c r="D53" s="31"/>
      <c r="E53" s="159" t="s">
        <v>437</v>
      </c>
      <c r="F53" s="160">
        <f>indicejul26</f>
        <v>281.46686399999999</v>
      </c>
      <c r="G53" s="153" t="s">
        <v>438</v>
      </c>
      <c r="H53" s="159" t="s">
        <v>437</v>
      </c>
      <c r="I53" s="160">
        <f>indicemay26</f>
        <v>273.2688</v>
      </c>
      <c r="J53" s="153" t="s">
        <v>438</v>
      </c>
      <c r="K53" s="159" t="s">
        <v>437</v>
      </c>
      <c r="L53" s="160">
        <f>indicedic25</f>
        <v>264.02777523499992</v>
      </c>
      <c r="M53" s="153" t="s">
        <v>438</v>
      </c>
      <c r="N53" s="159" t="s">
        <v>437</v>
      </c>
      <c r="O53" s="160">
        <f>indicedic25</f>
        <v>264.02777523499992</v>
      </c>
      <c r="P53" s="153" t="s">
        <v>438</v>
      </c>
      <c r="Q53" s="159"/>
      <c r="R53" s="31"/>
      <c r="S53" s="145"/>
      <c r="T53" s="31"/>
      <c r="U53" s="31"/>
      <c r="V53" s="31"/>
      <c r="W53" s="31"/>
      <c r="X53" s="31"/>
      <c r="Y53" s="31"/>
      <c r="Z53" s="31"/>
    </row>
    <row r="54" spans="1:26" ht="20.25">
      <c r="A54" s="31"/>
      <c r="B54" s="31"/>
      <c r="C54" s="31"/>
      <c r="D54" s="31"/>
      <c r="E54" s="161" t="s">
        <v>439</v>
      </c>
      <c r="F54" s="162">
        <f>Indiceproljorjul26</f>
        <v>486.35930500000001</v>
      </c>
      <c r="G54" s="163">
        <f>F53/I53-1</f>
        <v>3.0000000000000027E-2</v>
      </c>
      <c r="H54" s="161" t="s">
        <v>439</v>
      </c>
      <c r="I54" s="162">
        <f>Indiceproljormay26</f>
        <v>472.19349999999997</v>
      </c>
      <c r="J54" s="163">
        <f>I53/L53-1</f>
        <v>3.5000199341811866E-2</v>
      </c>
      <c r="K54" s="161" t="s">
        <v>439</v>
      </c>
      <c r="L54" s="162">
        <f>Indiceproljordic25</f>
        <v>456.22564546749987</v>
      </c>
      <c r="M54" s="163">
        <f>L53/O53-1</f>
        <v>0</v>
      </c>
      <c r="N54" s="161" t="s">
        <v>439</v>
      </c>
      <c r="O54" s="162">
        <f>Indiceproljordic25</f>
        <v>456.22564546749987</v>
      </c>
      <c r="P54" s="163" t="e">
        <f>O53/#REF!-1</f>
        <v>#REF!</v>
      </c>
      <c r="Q54" s="161"/>
      <c r="R54" s="31"/>
      <c r="S54" s="145"/>
      <c r="T54" s="31"/>
      <c r="U54" s="31"/>
      <c r="V54" s="31"/>
    </row>
    <row r="55" spans="1:26" ht="28.5">
      <c r="A55" s="31"/>
      <c r="B55" s="31"/>
      <c r="C55" s="164" t="s">
        <v>430</v>
      </c>
      <c r="D55" s="31"/>
      <c r="E55" s="165"/>
      <c r="F55" s="31"/>
      <c r="G55" s="31" t="s">
        <v>440</v>
      </c>
      <c r="H55" s="31"/>
      <c r="I55" s="31"/>
      <c r="J55" s="31"/>
      <c r="K55" s="145"/>
      <c r="L55" s="37"/>
      <c r="M55" s="37"/>
      <c r="N55" s="37"/>
      <c r="O55" s="37"/>
      <c r="P55" s="37"/>
      <c r="Q55" s="37"/>
      <c r="R55" s="37"/>
      <c r="S55" s="166"/>
    </row>
    <row r="56" spans="1:26" ht="15.75">
      <c r="A56" s="892" t="s">
        <v>441</v>
      </c>
      <c r="B56" s="866"/>
      <c r="C56" s="866"/>
      <c r="D56" s="866"/>
      <c r="E56" s="165"/>
      <c r="F56" s="31"/>
      <c r="G56" s="31"/>
      <c r="H56" s="31"/>
      <c r="I56" s="31"/>
      <c r="J56" s="31"/>
      <c r="K56" s="145"/>
      <c r="L56" s="31"/>
      <c r="M56" s="31"/>
      <c r="N56" s="31"/>
      <c r="O56" s="31"/>
      <c r="P56" s="31"/>
      <c r="Q56" s="31"/>
      <c r="R56" s="31"/>
      <c r="S56" s="167"/>
    </row>
    <row r="57" spans="1:26" ht="18">
      <c r="A57" s="168" t="s">
        <v>0</v>
      </c>
      <c r="B57" s="169" t="s">
        <v>442</v>
      </c>
      <c r="C57" s="169" t="s">
        <v>443</v>
      </c>
      <c r="D57" s="170" t="s">
        <v>444</v>
      </c>
      <c r="E57" s="81" t="s">
        <v>445</v>
      </c>
      <c r="F57" s="170" t="s">
        <v>446</v>
      </c>
      <c r="G57" s="49" t="s">
        <v>447</v>
      </c>
      <c r="H57" s="171" t="s">
        <v>448</v>
      </c>
      <c r="I57" s="172" t="s">
        <v>449</v>
      </c>
      <c r="J57" s="145"/>
      <c r="K57" s="31"/>
      <c r="L57" s="31"/>
      <c r="M57" s="31"/>
      <c r="N57" s="31"/>
      <c r="O57" s="31"/>
      <c r="P57" s="31"/>
      <c r="Q57" s="31"/>
      <c r="R57" s="173"/>
      <c r="S57" s="108"/>
    </row>
    <row r="58" spans="1:26" ht="18.75" thickBot="1">
      <c r="A58" s="174">
        <v>749</v>
      </c>
      <c r="B58" s="175">
        <f>LOOKUP(A58,numcargo,punbascargo)</f>
        <v>971</v>
      </c>
      <c r="C58" s="175">
        <f>LOOKUP(A58,numcargo,puntardifcargo)</f>
        <v>0</v>
      </c>
      <c r="D58" s="176">
        <f>LOOKUP(A58,numcargo,punproljorcargo)</f>
        <v>0</v>
      </c>
      <c r="E58" s="177">
        <f>LOOKUP(A58,numcargo,compbas16)</f>
        <v>414.7</v>
      </c>
      <c r="F58" s="178">
        <f>IF(AND(D62=1,LOOKUP(A58,numcargo,adicnina)&gt;0),LOOKUP(A58,numcargo,adicnina),0)</f>
        <v>0</v>
      </c>
      <c r="G58" s="178">
        <f>LOOKUP(A58,numcargo,adicdir2016)</f>
        <v>0</v>
      </c>
      <c r="H58" s="179">
        <f>LOOKUP(A58,numcargo,adicdir2022)</f>
        <v>0</v>
      </c>
      <c r="I58" s="180">
        <f>IF(AND(exten=1,LOOKUP(A58,numcargo,punexten)&gt;0),LOOKUP(A58,numcargo,punexten),0)</f>
        <v>0</v>
      </c>
      <c r="J58" s="145"/>
      <c r="K58" s="31"/>
      <c r="L58" s="31"/>
      <c r="M58" s="31"/>
      <c r="N58" s="31"/>
      <c r="O58" s="31"/>
      <c r="P58" s="31"/>
      <c r="Q58" s="31"/>
      <c r="R58" s="131"/>
      <c r="S58" s="108"/>
    </row>
    <row r="59" spans="1:26">
      <c r="A59" s="181" t="s">
        <v>450</v>
      </c>
      <c r="B59" s="182"/>
      <c r="C59" s="183" t="str">
        <f>LOOKUP(A58,numcargo,nombrecargo)</f>
        <v>Maestro De Ciclo</v>
      </c>
      <c r="D59" s="182"/>
      <c r="E59" s="184"/>
      <c r="F59" s="37"/>
      <c r="G59" s="37"/>
      <c r="H59" s="185" t="str">
        <f>A58&amp;""</f>
        <v>749</v>
      </c>
      <c r="I59" s="820" t="str">
        <f>C59</f>
        <v>Maestro De Ciclo</v>
      </c>
      <c r="J59" s="186"/>
      <c r="K59" s="187">
        <f>porantigcargo</f>
        <v>0</v>
      </c>
      <c r="L59" s="188"/>
      <c r="M59" s="189"/>
      <c r="N59" s="189"/>
      <c r="O59" s="189"/>
      <c r="P59" s="189"/>
      <c r="Q59" s="31"/>
      <c r="R59" s="31"/>
      <c r="S59" s="31"/>
    </row>
    <row r="60" spans="1:26" ht="15.75">
      <c r="A60" s="190" t="s">
        <v>451</v>
      </c>
      <c r="B60" s="190"/>
      <c r="C60" s="190"/>
      <c r="D60" s="190"/>
      <c r="E60" s="31"/>
      <c r="F60" s="37"/>
      <c r="G60" s="37"/>
      <c r="H60" s="191">
        <v>45992</v>
      </c>
      <c r="I60" s="192">
        <v>46054</v>
      </c>
      <c r="J60" s="192">
        <v>46143</v>
      </c>
      <c r="K60" s="192">
        <v>46204</v>
      </c>
      <c r="L60" s="192"/>
      <c r="M60" s="193"/>
      <c r="N60" s="193"/>
      <c r="O60" s="193"/>
      <c r="P60" s="193"/>
      <c r="Q60" s="193"/>
      <c r="R60" s="193"/>
      <c r="S60" s="193"/>
    </row>
    <row r="61" spans="1:26" ht="21" thickBot="1">
      <c r="A61" s="194"/>
      <c r="B61" s="31"/>
      <c r="C61" s="31"/>
      <c r="D61" s="195"/>
      <c r="E61" s="196"/>
      <c r="F61" s="37"/>
      <c r="G61" s="197"/>
      <c r="H61" s="198">
        <f>N66</f>
        <v>687207</v>
      </c>
      <c r="I61" s="199">
        <f>K66</f>
        <v>750000</v>
      </c>
      <c r="J61" s="200">
        <f>H66</f>
        <v>776250</v>
      </c>
      <c r="K61" s="200">
        <f>E66</f>
        <v>850000</v>
      </c>
      <c r="L61" s="200"/>
      <c r="M61" s="201"/>
      <c r="N61" s="201"/>
      <c r="O61" s="201"/>
      <c r="P61" s="201"/>
      <c r="Q61" s="201"/>
      <c r="R61" s="201"/>
      <c r="S61" s="201"/>
    </row>
    <row r="62" spans="1:26" ht="16.5" thickTop="1">
      <c r="A62" s="31"/>
      <c r="B62" s="890" t="s">
        <v>452</v>
      </c>
      <c r="C62" s="891"/>
      <c r="D62" s="202">
        <v>0</v>
      </c>
      <c r="E62" s="203" t="s">
        <v>453</v>
      </c>
      <c r="F62" s="37"/>
      <c r="G62" s="197"/>
      <c r="H62" s="204" t="s">
        <v>454</v>
      </c>
      <c r="I62" s="205">
        <f>I61-$H61</f>
        <v>62793</v>
      </c>
      <c r="J62" s="205">
        <f t="shared" ref="J62:L62" si="7">J61-$H61</f>
        <v>89043</v>
      </c>
      <c r="K62" s="205">
        <f t="shared" si="7"/>
        <v>162793</v>
      </c>
      <c r="L62" s="205"/>
      <c r="M62" s="206"/>
      <c r="N62" s="206"/>
      <c r="O62" s="206"/>
      <c r="P62" s="206"/>
      <c r="Q62" s="206"/>
      <c r="R62" s="206"/>
      <c r="S62" s="206"/>
    </row>
    <row r="63" spans="1:26" ht="18">
      <c r="A63" s="31"/>
      <c r="B63" s="879" t="s">
        <v>455</v>
      </c>
      <c r="C63" s="873"/>
      <c r="D63" s="207">
        <v>0</v>
      </c>
      <c r="E63" s="31" t="s">
        <v>456</v>
      </c>
      <c r="F63" s="37"/>
      <c r="G63" s="37"/>
      <c r="H63" s="208" t="s">
        <v>457</v>
      </c>
      <c r="I63" s="209">
        <f t="shared" ref="I63:J63" si="8">I62/$H61</f>
        <v>9.1374214756252486E-2</v>
      </c>
      <c r="J63" s="209">
        <f t="shared" si="8"/>
        <v>0.12957231227272131</v>
      </c>
      <c r="K63" s="209">
        <f t="shared" ref="K63:L63" si="9">K62/$H61</f>
        <v>0.23689077672375281</v>
      </c>
      <c r="L63" s="209"/>
      <c r="M63" s="210"/>
      <c r="N63" s="210"/>
      <c r="O63" s="210"/>
      <c r="P63" s="210"/>
      <c r="Q63" s="210"/>
      <c r="R63" s="210"/>
      <c r="S63" s="210"/>
    </row>
    <row r="64" spans="1:26" ht="16.5" thickBot="1">
      <c r="A64" s="31"/>
      <c r="B64" s="211"/>
      <c r="C64" s="31"/>
      <c r="D64" s="212">
        <f>LOOKUP(D63,escalaañosantig,escalaporcantig)</f>
        <v>0</v>
      </c>
      <c r="E64" s="37"/>
      <c r="F64" s="37"/>
      <c r="G64" s="37"/>
      <c r="H64" s="213" t="s">
        <v>458</v>
      </c>
      <c r="I64" s="861"/>
      <c r="J64" s="214"/>
      <c r="K64" s="215"/>
      <c r="L64" s="188"/>
      <c r="M64" s="189"/>
      <c r="N64" s="189"/>
      <c r="O64" s="189"/>
      <c r="P64" s="189"/>
      <c r="Q64" s="189"/>
      <c r="R64" s="189"/>
      <c r="S64" s="189"/>
    </row>
    <row r="65" spans="1:22" ht="24.75" thickTop="1" thickBot="1">
      <c r="A65" s="31"/>
      <c r="B65" s="880" t="s">
        <v>459</v>
      </c>
      <c r="C65" s="866"/>
      <c r="D65" s="216">
        <v>0</v>
      </c>
      <c r="E65" s="217" t="s">
        <v>460</v>
      </c>
      <c r="F65" s="862" t="s">
        <v>564</v>
      </c>
      <c r="G65" s="85"/>
      <c r="H65" s="217" t="s">
        <v>460</v>
      </c>
      <c r="I65" s="862" t="s">
        <v>565</v>
      </c>
      <c r="J65" s="85"/>
      <c r="K65" s="217" t="s">
        <v>460</v>
      </c>
      <c r="L65" s="218"/>
      <c r="M65" s="85"/>
      <c r="N65" s="217" t="s">
        <v>460</v>
      </c>
      <c r="O65" s="218"/>
      <c r="P65" s="31"/>
      <c r="Q65" s="31"/>
      <c r="R65" s="31"/>
      <c r="S65" s="31"/>
      <c r="T65" s="31"/>
      <c r="U65" s="31"/>
      <c r="V65" s="31"/>
    </row>
    <row r="66" spans="1:22" ht="21" thickBot="1">
      <c r="A66" s="31"/>
      <c r="B66" s="881" t="s">
        <v>461</v>
      </c>
      <c r="C66" s="866"/>
      <c r="D66" s="219">
        <f>PUNTOSbasicos</f>
        <v>971</v>
      </c>
      <c r="E66" s="220">
        <f>F104</f>
        <v>850000</v>
      </c>
      <c r="F66" s="863">
        <f>E66/1531473</f>
        <v>0.55502121160477524</v>
      </c>
      <c r="G66" s="31"/>
      <c r="H66" s="220">
        <f>I104</f>
        <v>776250</v>
      </c>
      <c r="I66" s="863">
        <f>H66/1469768</f>
        <v>0.52814457791978053</v>
      </c>
      <c r="J66" s="31"/>
      <c r="K66" s="220">
        <f>L104</f>
        <v>750000</v>
      </c>
      <c r="L66" s="221"/>
      <c r="M66" s="31"/>
      <c r="N66" s="220">
        <f>O104</f>
        <v>687207</v>
      </c>
      <c r="O66" s="221"/>
      <c r="P66" s="31"/>
      <c r="Q66" s="31"/>
      <c r="R66" s="31"/>
      <c r="S66" s="31"/>
      <c r="T66" s="31"/>
      <c r="U66" s="31"/>
      <c r="V66" s="31"/>
    </row>
    <row r="67" spans="1:22" ht="16.5" thickTop="1">
      <c r="A67" s="31"/>
      <c r="B67" s="882" t="s">
        <v>462</v>
      </c>
      <c r="C67" s="883"/>
      <c r="D67" s="222">
        <f>D58</f>
        <v>0</v>
      </c>
      <c r="E67" s="223" t="s">
        <v>463</v>
      </c>
      <c r="F67" s="864"/>
      <c r="G67" s="31"/>
      <c r="H67" s="223" t="s">
        <v>463</v>
      </c>
      <c r="I67" s="864"/>
      <c r="J67" s="31"/>
      <c r="K67" s="223" t="s">
        <v>463</v>
      </c>
      <c r="L67" s="224"/>
      <c r="M67" s="31"/>
      <c r="N67" s="223" t="s">
        <v>463</v>
      </c>
      <c r="O67" s="224"/>
      <c r="P67" s="31"/>
      <c r="Q67" s="31"/>
      <c r="R67" s="31"/>
      <c r="S67" s="31"/>
      <c r="T67" s="31"/>
      <c r="U67" s="31"/>
      <c r="V67" s="37"/>
    </row>
    <row r="68" spans="1:22" ht="21" thickBot="1">
      <c r="A68" s="121"/>
      <c r="B68" s="225" t="s">
        <v>464</v>
      </c>
      <c r="C68" s="226"/>
      <c r="D68" s="227">
        <v>0</v>
      </c>
      <c r="E68" s="228">
        <f>E66-E90-E91-E92-E93-E94</f>
        <v>667374.24622499989</v>
      </c>
      <c r="F68" s="863">
        <f>E68/1531473</f>
        <v>0.43577277968661537</v>
      </c>
      <c r="G68" s="121"/>
      <c r="H68" s="228">
        <f>H66-H90-H91-H92-H93-H94</f>
        <v>644806.03499999992</v>
      </c>
      <c r="I68" s="863">
        <f>H68/1469768</f>
        <v>0.43871280025146819</v>
      </c>
      <c r="J68" s="121"/>
      <c r="K68" s="228">
        <f>K66-K90-K91-K92-K93-K94</f>
        <v>623001</v>
      </c>
      <c r="L68" s="229"/>
      <c r="M68" s="121"/>
      <c r="N68" s="228">
        <f>N66-N90-N91-N94</f>
        <v>623001</v>
      </c>
      <c r="O68" s="229"/>
      <c r="P68" s="121"/>
      <c r="Q68" s="121"/>
      <c r="R68" s="121"/>
      <c r="S68" s="96"/>
      <c r="T68" s="121"/>
      <c r="U68" s="121"/>
      <c r="V68" s="121"/>
    </row>
    <row r="69" spans="1:22" ht="18.75" thickTop="1">
      <c r="A69" s="121"/>
      <c r="B69" s="121"/>
      <c r="C69" s="121"/>
      <c r="D69" s="230"/>
      <c r="E69" s="230"/>
      <c r="F69" s="230"/>
      <c r="G69" s="121"/>
      <c r="H69" s="230"/>
      <c r="I69" s="230"/>
      <c r="J69" s="121"/>
      <c r="K69" s="230"/>
      <c r="L69" s="230"/>
      <c r="M69" s="121"/>
      <c r="N69" s="22">
        <v>45992</v>
      </c>
      <c r="O69" s="37"/>
      <c r="P69" s="37"/>
      <c r="Q69" s="37"/>
      <c r="R69" s="37"/>
      <c r="S69" s="37"/>
      <c r="T69" s="37"/>
      <c r="U69" s="37"/>
      <c r="V69" s="37"/>
    </row>
    <row r="70" spans="1:22" ht="20.25">
      <c r="A70" s="121"/>
      <c r="B70" s="184"/>
      <c r="C70" s="184"/>
      <c r="D70" s="184"/>
      <c r="E70" s="812">
        <v>46204</v>
      </c>
      <c r="F70" s="813">
        <f>Aumentojulio26</f>
        <v>6.6049999999999942E-2</v>
      </c>
      <c r="G70" s="814"/>
      <c r="H70" s="812">
        <v>46143</v>
      </c>
      <c r="I70" s="813">
        <v>3.5000000000000003E-2</v>
      </c>
      <c r="J70" s="814"/>
      <c r="K70" s="812">
        <v>46054</v>
      </c>
      <c r="L70" s="813">
        <v>0</v>
      </c>
      <c r="M70" s="814"/>
      <c r="N70" s="812">
        <v>45992</v>
      </c>
      <c r="O70" s="23"/>
      <c r="P70" s="96"/>
      <c r="Q70" s="121"/>
      <c r="R70" s="121"/>
      <c r="S70" s="121"/>
      <c r="T70" s="121"/>
      <c r="U70" s="121"/>
      <c r="V70" s="121"/>
    </row>
    <row r="71" spans="1:22" ht="15.75">
      <c r="A71" s="121"/>
      <c r="B71" s="231" t="s">
        <v>465</v>
      </c>
      <c r="C71" s="232" t="s">
        <v>466</v>
      </c>
      <c r="D71" s="233" t="s">
        <v>467</v>
      </c>
      <c r="E71" s="233" t="s">
        <v>468</v>
      </c>
      <c r="F71" s="233" t="s">
        <v>469</v>
      </c>
      <c r="G71" s="234"/>
      <c r="H71" s="233" t="s">
        <v>468</v>
      </c>
      <c r="I71" s="233" t="s">
        <v>469</v>
      </c>
      <c r="J71" s="234"/>
      <c r="K71" s="233" t="s">
        <v>468</v>
      </c>
      <c r="L71" s="233" t="s">
        <v>469</v>
      </c>
      <c r="M71" s="234"/>
      <c r="N71" s="233" t="s">
        <v>468</v>
      </c>
      <c r="O71" s="233" t="s">
        <v>469</v>
      </c>
      <c r="P71" s="234"/>
      <c r="Q71" s="121"/>
      <c r="R71" s="121"/>
      <c r="S71" s="121"/>
      <c r="T71" s="121"/>
      <c r="U71" s="121"/>
      <c r="V71" s="121"/>
    </row>
    <row r="72" spans="1:22" ht="15.75">
      <c r="A72" s="121"/>
      <c r="B72" s="235">
        <v>1</v>
      </c>
      <c r="C72" s="236"/>
      <c r="D72" s="236" t="s">
        <v>470</v>
      </c>
      <c r="E72" s="645">
        <f t="shared" ref="E72:E87" si="10">E141</f>
        <v>273304.32494399999</v>
      </c>
      <c r="F72" s="236"/>
      <c r="G72" s="237"/>
      <c r="H72" s="645">
        <f t="shared" ref="H72:H87" si="11">H141</f>
        <v>265344.0048</v>
      </c>
      <c r="I72" s="236"/>
      <c r="J72" s="237"/>
      <c r="K72" s="236">
        <f t="shared" ref="K72:K87" si="12">K141</f>
        <v>256370.96975318494</v>
      </c>
      <c r="L72" s="236"/>
      <c r="M72" s="237"/>
      <c r="N72" s="236">
        <f t="shared" ref="N72:N87" si="13">N141</f>
        <v>256370.96975318494</v>
      </c>
      <c r="O72" s="236"/>
      <c r="P72" s="237"/>
      <c r="Q72" s="121"/>
      <c r="R72" s="121"/>
      <c r="S72" s="121"/>
      <c r="T72" s="121"/>
      <c r="U72" s="121"/>
      <c r="V72" s="37"/>
    </row>
    <row r="73" spans="1:22" ht="15.75">
      <c r="A73" s="121"/>
      <c r="B73" s="238">
        <v>2</v>
      </c>
      <c r="C73" s="239"/>
      <c r="D73" s="239" t="s">
        <v>471</v>
      </c>
      <c r="E73" s="643">
        <f t="shared" si="10"/>
        <v>116724.30850079999</v>
      </c>
      <c r="F73" s="239"/>
      <c r="G73" s="237"/>
      <c r="H73" s="643">
        <f t="shared" si="11"/>
        <v>113324.57136</v>
      </c>
      <c r="I73" s="239"/>
      <c r="J73" s="237"/>
      <c r="K73" s="239">
        <f t="shared" si="12"/>
        <v>109492.31838995447</v>
      </c>
      <c r="L73" s="239"/>
      <c r="M73" s="237"/>
      <c r="N73" s="239">
        <f t="shared" si="13"/>
        <v>109492.31838995447</v>
      </c>
      <c r="O73" s="239"/>
      <c r="P73" s="237"/>
      <c r="Q73" s="121"/>
      <c r="R73" s="121"/>
      <c r="S73" s="121"/>
      <c r="T73" s="121"/>
      <c r="U73" s="121"/>
      <c r="V73" s="121"/>
    </row>
    <row r="74" spans="1:22" ht="15.75">
      <c r="A74" s="121"/>
      <c r="B74" s="240" t="s">
        <v>472</v>
      </c>
      <c r="C74" s="241"/>
      <c r="D74" s="241" t="s">
        <v>464</v>
      </c>
      <c r="E74" s="803">
        <f t="shared" si="10"/>
        <v>0</v>
      </c>
      <c r="F74" s="241"/>
      <c r="G74" s="242"/>
      <c r="H74" s="803">
        <f t="shared" si="11"/>
        <v>0</v>
      </c>
      <c r="I74" s="241"/>
      <c r="J74" s="242"/>
      <c r="K74" s="241">
        <f t="shared" si="12"/>
        <v>0</v>
      </c>
      <c r="L74" s="241"/>
      <c r="M74" s="242"/>
      <c r="N74" s="241">
        <f t="shared" si="13"/>
        <v>0</v>
      </c>
      <c r="O74" s="241"/>
      <c r="P74" s="242"/>
      <c r="Q74" s="121"/>
      <c r="R74" s="121"/>
      <c r="S74" s="121"/>
      <c r="T74" s="121"/>
      <c r="U74" s="121"/>
      <c r="V74" s="121"/>
    </row>
    <row r="75" spans="1:22" ht="15.75">
      <c r="A75" s="121"/>
      <c r="B75" s="243" t="s">
        <v>473</v>
      </c>
      <c r="C75" s="236"/>
      <c r="D75" s="236" t="s">
        <v>474</v>
      </c>
      <c r="E75" s="645">
        <f t="shared" si="10"/>
        <v>0</v>
      </c>
      <c r="F75" s="236">
        <f>468108*1.1</f>
        <v>514918.80000000005</v>
      </c>
      <c r="G75" s="237"/>
      <c r="H75" s="645">
        <f t="shared" si="11"/>
        <v>0</v>
      </c>
      <c r="I75" s="236">
        <f>468108*1.1</f>
        <v>514918.80000000005</v>
      </c>
      <c r="J75" s="237"/>
      <c r="K75" s="236">
        <f t="shared" si="12"/>
        <v>0</v>
      </c>
      <c r="L75" s="236">
        <f>468108*1.1</f>
        <v>514918.80000000005</v>
      </c>
      <c r="M75" s="237"/>
      <c r="N75" s="236">
        <f t="shared" si="13"/>
        <v>0</v>
      </c>
      <c r="O75" s="236">
        <f>468108*1.1</f>
        <v>514918.80000000005</v>
      </c>
      <c r="P75" s="237"/>
      <c r="Q75" s="121"/>
      <c r="R75" s="121"/>
      <c r="S75" s="121"/>
      <c r="T75" s="121"/>
      <c r="U75" s="121"/>
      <c r="V75" s="121"/>
    </row>
    <row r="76" spans="1:22" ht="15.75">
      <c r="A76" s="121"/>
      <c r="B76" s="238">
        <v>5</v>
      </c>
      <c r="C76" s="239"/>
      <c r="D76" s="239" t="s">
        <v>475</v>
      </c>
      <c r="E76" s="643">
        <f t="shared" si="10"/>
        <v>0</v>
      </c>
      <c r="F76" s="239"/>
      <c r="G76" s="237"/>
      <c r="H76" s="643">
        <f t="shared" si="11"/>
        <v>0</v>
      </c>
      <c r="I76" s="239"/>
      <c r="J76" s="237"/>
      <c r="K76" s="239">
        <f t="shared" si="12"/>
        <v>0</v>
      </c>
      <c r="L76" s="239"/>
      <c r="M76" s="237"/>
      <c r="N76" s="239">
        <f t="shared" si="13"/>
        <v>0</v>
      </c>
      <c r="O76" s="239"/>
      <c r="P76" s="237"/>
      <c r="Q76" s="121"/>
      <c r="R76" s="121"/>
      <c r="S76" s="121"/>
      <c r="T76" s="121"/>
      <c r="U76" s="121"/>
      <c r="V76" s="121"/>
    </row>
    <row r="77" spans="1:22" ht="15.75">
      <c r="A77" s="121"/>
      <c r="B77" s="243">
        <v>6</v>
      </c>
      <c r="C77" s="236"/>
      <c r="D77" s="236" t="s">
        <v>476</v>
      </c>
      <c r="E77" s="645">
        <f t="shared" si="10"/>
        <v>220747.41222105752</v>
      </c>
      <c r="F77" s="236"/>
      <c r="G77" s="237"/>
      <c r="H77" s="645">
        <f t="shared" si="11"/>
        <v>214317.87594277429</v>
      </c>
      <c r="I77" s="236"/>
      <c r="J77" s="237"/>
      <c r="K77" s="236">
        <f t="shared" si="12"/>
        <v>207070.41153891236</v>
      </c>
      <c r="L77" s="236"/>
      <c r="M77" s="237"/>
      <c r="N77" s="236">
        <f t="shared" si="13"/>
        <v>207070.41153891236</v>
      </c>
      <c r="O77" s="236"/>
      <c r="P77" s="237"/>
      <c r="Q77" s="121"/>
      <c r="R77" s="121"/>
      <c r="S77" s="121"/>
      <c r="T77" s="121"/>
      <c r="U77" s="121"/>
      <c r="V77" s="121"/>
    </row>
    <row r="78" spans="1:22" ht="15.75">
      <c r="A78" s="121"/>
      <c r="B78" s="238">
        <v>10</v>
      </c>
      <c r="C78" s="244">
        <f>C147</f>
        <v>0</v>
      </c>
      <c r="D78" s="239" t="s">
        <v>477</v>
      </c>
      <c r="E78" s="643">
        <f t="shared" si="10"/>
        <v>0</v>
      </c>
      <c r="F78" s="239"/>
      <c r="G78" s="237"/>
      <c r="H78" s="643">
        <f t="shared" si="11"/>
        <v>0</v>
      </c>
      <c r="I78" s="239"/>
      <c r="J78" s="237"/>
      <c r="K78" s="239">
        <f t="shared" si="12"/>
        <v>0</v>
      </c>
      <c r="L78" s="239"/>
      <c r="M78" s="237"/>
      <c r="N78" s="239">
        <f t="shared" si="13"/>
        <v>0</v>
      </c>
      <c r="O78" s="239"/>
      <c r="P78" s="237"/>
      <c r="Q78" s="121"/>
      <c r="R78" s="121"/>
      <c r="S78" s="121"/>
      <c r="T78" s="121"/>
      <c r="U78" s="121"/>
      <c r="V78" s="121"/>
    </row>
    <row r="79" spans="1:22" ht="15.75">
      <c r="A79" s="121"/>
      <c r="B79" s="243">
        <v>14</v>
      </c>
      <c r="C79" s="245">
        <v>7.0000000000000007E-2</v>
      </c>
      <c r="D79" s="236" t="s">
        <v>478</v>
      </c>
      <c r="E79" s="645">
        <f t="shared" si="10"/>
        <v>15452.318855474028</v>
      </c>
      <c r="F79" s="236"/>
      <c r="G79" s="246">
        <f t="shared" ref="G79:G84" si="14">G148</f>
        <v>165806.40750261827</v>
      </c>
      <c r="H79" s="645">
        <f t="shared" si="11"/>
        <v>15002.251315994203</v>
      </c>
      <c r="I79" s="236"/>
      <c r="J79" s="246">
        <f t="shared" ref="J79:J84" si="15">J148</f>
        <v>157226.64368802353</v>
      </c>
      <c r="K79" s="236">
        <f t="shared" si="12"/>
        <v>14494.928807723867</v>
      </c>
      <c r="L79" s="236"/>
      <c r="M79" s="246">
        <f t="shared" ref="M79:M84" si="16">M148</f>
        <v>151909.87113031338</v>
      </c>
      <c r="N79" s="236">
        <f t="shared" si="13"/>
        <v>14494.928807723867</v>
      </c>
      <c r="O79" s="236"/>
      <c r="P79" s="246">
        <f t="shared" ref="P79:P84" si="17">P148</f>
        <v>151909.87113031338</v>
      </c>
      <c r="Q79" s="121"/>
      <c r="R79" s="121"/>
      <c r="S79" s="121"/>
      <c r="T79" s="121"/>
      <c r="U79" s="121"/>
      <c r="V79" s="121"/>
    </row>
    <row r="80" spans="1:22" ht="15.75">
      <c r="A80" s="121"/>
      <c r="B80" s="238">
        <v>188</v>
      </c>
      <c r="C80" s="244">
        <v>7.0000000000000007E-2</v>
      </c>
      <c r="D80" s="239" t="s">
        <v>479</v>
      </c>
      <c r="E80" s="643">
        <f t="shared" si="10"/>
        <v>40522.036806819277</v>
      </c>
      <c r="F80" s="239"/>
      <c r="G80" s="247"/>
      <c r="H80" s="643">
        <f t="shared" si="11"/>
        <v>39079.251739361651</v>
      </c>
      <c r="I80" s="239"/>
      <c r="J80" s="247"/>
      <c r="K80" s="239">
        <f t="shared" si="12"/>
        <v>37757.731149141699</v>
      </c>
      <c r="L80" s="239"/>
      <c r="M80" s="247"/>
      <c r="N80" s="239">
        <f t="shared" si="13"/>
        <v>37757.731149141699</v>
      </c>
      <c r="O80" s="239"/>
      <c r="P80" s="247"/>
      <c r="Q80" s="121"/>
      <c r="R80" s="121"/>
      <c r="S80" s="121"/>
      <c r="T80" s="121"/>
      <c r="U80" s="121"/>
      <c r="V80" s="121"/>
    </row>
    <row r="81" spans="1:22" ht="15.75">
      <c r="A81" s="121"/>
      <c r="B81" s="243">
        <v>52</v>
      </c>
      <c r="C81" s="236"/>
      <c r="D81" s="236" t="s">
        <v>480</v>
      </c>
      <c r="E81" s="645">
        <f t="shared" si="10"/>
        <v>0</v>
      </c>
      <c r="F81" s="236"/>
      <c r="G81" s="247">
        <f t="shared" si="14"/>
        <v>576441.24111668998</v>
      </c>
      <c r="H81" s="645">
        <f t="shared" si="11"/>
        <v>0</v>
      </c>
      <c r="I81" s="236"/>
      <c r="J81" s="247">
        <f t="shared" si="15"/>
        <v>556948.05904994207</v>
      </c>
      <c r="K81" s="236">
        <f t="shared" si="12"/>
        <v>0</v>
      </c>
      <c r="L81" s="236"/>
      <c r="M81" s="247">
        <f t="shared" si="16"/>
        <v>538114.06671491987</v>
      </c>
      <c r="N81" s="236">
        <f t="shared" si="13"/>
        <v>0</v>
      </c>
      <c r="O81" s="236"/>
      <c r="P81" s="247">
        <f t="shared" si="17"/>
        <v>538114.06671491987</v>
      </c>
      <c r="Q81" s="121"/>
      <c r="R81" s="121"/>
      <c r="S81" s="121"/>
      <c r="T81" s="121"/>
      <c r="U81" s="121"/>
      <c r="V81" s="121"/>
    </row>
    <row r="82" spans="1:22" ht="15.75">
      <c r="A82" s="121"/>
      <c r="B82" s="238">
        <v>16</v>
      </c>
      <c r="C82" s="239"/>
      <c r="D82" s="239" t="s">
        <v>481</v>
      </c>
      <c r="E82" s="643">
        <f t="shared" si="10"/>
        <v>0</v>
      </c>
      <c r="F82" s="239"/>
      <c r="G82" s="247">
        <f t="shared" si="14"/>
        <v>56852.411446651444</v>
      </c>
      <c r="H82" s="643">
        <f t="shared" si="11"/>
        <v>0</v>
      </c>
      <c r="I82" s="239"/>
      <c r="J82" s="247">
        <f t="shared" si="15"/>
        <v>51957.082281292351</v>
      </c>
      <c r="K82" s="239">
        <f t="shared" si="12"/>
        <v>0</v>
      </c>
      <c r="L82" s="239"/>
      <c r="M82" s="247">
        <f t="shared" si="16"/>
        <v>50200.149964389449</v>
      </c>
      <c r="N82" s="239">
        <f t="shared" si="13"/>
        <v>0</v>
      </c>
      <c r="O82" s="239"/>
      <c r="P82" s="247">
        <f t="shared" si="17"/>
        <v>50200.149964389449</v>
      </c>
      <c r="Q82" s="121"/>
      <c r="R82" s="121"/>
      <c r="S82" s="121"/>
      <c r="T82" s="121"/>
      <c r="U82" s="121"/>
      <c r="V82" s="121"/>
    </row>
    <row r="83" spans="1:22" ht="16.5" thickBot="1">
      <c r="A83" s="121"/>
      <c r="B83" s="243">
        <v>78</v>
      </c>
      <c r="C83" s="248">
        <v>0</v>
      </c>
      <c r="D83" s="236" t="s">
        <v>482</v>
      </c>
      <c r="E83" s="645">
        <f t="shared" si="10"/>
        <v>0</v>
      </c>
      <c r="F83" s="236"/>
      <c r="G83" s="247">
        <f t="shared" si="14"/>
        <v>667374.24622499989</v>
      </c>
      <c r="H83" s="645">
        <f t="shared" si="11"/>
        <v>0</v>
      </c>
      <c r="I83" s="236"/>
      <c r="J83" s="247">
        <f t="shared" si="15"/>
        <v>644806.03499999992</v>
      </c>
      <c r="K83" s="236">
        <f t="shared" si="12"/>
        <v>0</v>
      </c>
      <c r="L83" s="236"/>
      <c r="M83" s="247">
        <f t="shared" si="16"/>
        <v>623001</v>
      </c>
      <c r="N83" s="236">
        <f t="shared" si="13"/>
        <v>0</v>
      </c>
      <c r="O83" s="236"/>
      <c r="P83" s="247">
        <f t="shared" si="17"/>
        <v>623001</v>
      </c>
      <c r="Q83" s="121"/>
      <c r="R83" s="121"/>
      <c r="S83" s="121"/>
      <c r="T83" s="121"/>
      <c r="U83" s="121"/>
      <c r="V83" s="121"/>
    </row>
    <row r="84" spans="1:22" ht="16.5" thickBot="1">
      <c r="A84" s="249"/>
      <c r="B84" s="250">
        <v>185</v>
      </c>
      <c r="C84" s="251"/>
      <c r="D84" s="251" t="s">
        <v>483</v>
      </c>
      <c r="E84" s="804">
        <f t="shared" si="10"/>
        <v>165806.40750261827</v>
      </c>
      <c r="F84" s="251"/>
      <c r="G84" s="252">
        <f t="shared" si="14"/>
        <v>165806.40750261827</v>
      </c>
      <c r="H84" s="804">
        <f t="shared" si="11"/>
        <v>157226.64368802353</v>
      </c>
      <c r="I84" s="251"/>
      <c r="J84" s="252">
        <f t="shared" si="15"/>
        <v>157226.64368802353</v>
      </c>
      <c r="K84" s="251">
        <f t="shared" si="12"/>
        <v>151909.87113031338</v>
      </c>
      <c r="L84" s="251"/>
      <c r="M84" s="252">
        <f t="shared" si="16"/>
        <v>151909.87113031338</v>
      </c>
      <c r="N84" s="251">
        <f t="shared" si="13"/>
        <v>151909.87113031338</v>
      </c>
      <c r="O84" s="251"/>
      <c r="P84" s="252">
        <f t="shared" si="17"/>
        <v>151909.87113031338</v>
      </c>
      <c r="Q84" s="249"/>
      <c r="R84" s="249"/>
      <c r="S84" s="249"/>
      <c r="T84" s="249"/>
      <c r="U84" s="249"/>
      <c r="V84" s="249"/>
    </row>
    <row r="85" spans="1:22" ht="16.5" thickBot="1">
      <c r="A85" s="121"/>
      <c r="B85" s="235">
        <v>117</v>
      </c>
      <c r="C85" s="253">
        <v>1</v>
      </c>
      <c r="D85" s="254" t="s">
        <v>484</v>
      </c>
      <c r="E85" s="805">
        <f t="shared" si="10"/>
        <v>23051.19915</v>
      </c>
      <c r="F85" s="254"/>
      <c r="G85" s="255"/>
      <c r="H85" s="805">
        <f t="shared" si="11"/>
        <v>22379.804999999997</v>
      </c>
      <c r="I85" s="254"/>
      <c r="J85" s="255"/>
      <c r="K85" s="254">
        <f t="shared" si="12"/>
        <v>21623</v>
      </c>
      <c r="L85" s="254"/>
      <c r="M85" s="255"/>
      <c r="N85" s="254">
        <f t="shared" si="13"/>
        <v>21623</v>
      </c>
      <c r="O85" s="254"/>
      <c r="P85" s="255"/>
      <c r="Q85" s="121"/>
      <c r="R85" s="121"/>
      <c r="S85" s="121"/>
      <c r="T85" s="121"/>
      <c r="U85" s="121"/>
      <c r="V85" s="121"/>
    </row>
    <row r="86" spans="1:22" ht="16.5" thickBot="1">
      <c r="A86" s="121"/>
      <c r="B86" s="256">
        <v>25</v>
      </c>
      <c r="C86" s="257">
        <v>1</v>
      </c>
      <c r="D86" s="258" t="s">
        <v>485</v>
      </c>
      <c r="E86" s="806">
        <f t="shared" si="10"/>
        <v>0</v>
      </c>
      <c r="F86" s="259"/>
      <c r="G86" s="260"/>
      <c r="H86" s="806">
        <f t="shared" si="11"/>
        <v>0</v>
      </c>
      <c r="I86" s="259"/>
      <c r="J86" s="260"/>
      <c r="K86" s="259">
        <f t="shared" si="12"/>
        <v>0</v>
      </c>
      <c r="L86" s="259"/>
      <c r="M86" s="260"/>
      <c r="N86" s="259">
        <f t="shared" si="13"/>
        <v>0</v>
      </c>
      <c r="O86" s="259"/>
      <c r="P86" s="260"/>
      <c r="Q86" s="121"/>
      <c r="R86" s="121"/>
      <c r="S86" s="121"/>
      <c r="T86" s="121"/>
      <c r="U86" s="121"/>
      <c r="V86" s="121"/>
    </row>
    <row r="87" spans="1:22" ht="15.75">
      <c r="A87" s="121"/>
      <c r="B87" s="261">
        <v>29</v>
      </c>
      <c r="C87" s="262">
        <f>cantkm</f>
        <v>0</v>
      </c>
      <c r="D87" s="263" t="s">
        <v>486</v>
      </c>
      <c r="E87" s="807">
        <f t="shared" si="10"/>
        <v>0</v>
      </c>
      <c r="F87" s="263"/>
      <c r="G87" s="255">
        <f>G156</f>
        <v>861742.66634999996</v>
      </c>
      <c r="H87" s="807">
        <f t="shared" si="11"/>
        <v>0</v>
      </c>
      <c r="I87" s="263"/>
      <c r="J87" s="255">
        <f>J156</f>
        <v>832601.61</v>
      </c>
      <c r="K87" s="263">
        <f t="shared" si="12"/>
        <v>0</v>
      </c>
      <c r="L87" s="263"/>
      <c r="M87" s="255">
        <f>M156</f>
        <v>804446</v>
      </c>
      <c r="N87" s="263">
        <f t="shared" si="13"/>
        <v>0</v>
      </c>
      <c r="O87" s="263"/>
      <c r="P87" s="255">
        <f>P156</f>
        <v>804446</v>
      </c>
      <c r="Q87" s="121"/>
      <c r="R87" s="121"/>
      <c r="S87" s="121"/>
      <c r="T87" s="121"/>
      <c r="U87" s="121"/>
      <c r="V87" s="121"/>
    </row>
    <row r="88" spans="1:22" ht="15.75">
      <c r="A88" s="121"/>
      <c r="B88" s="243" t="s">
        <v>487</v>
      </c>
      <c r="C88" s="236" t="s">
        <v>488</v>
      </c>
      <c r="D88" s="236"/>
      <c r="E88" s="808">
        <v>0</v>
      </c>
      <c r="F88" s="236"/>
      <c r="G88" s="247">
        <f>G157</f>
        <v>398694.52171900944</v>
      </c>
      <c r="H88" s="808">
        <v>0</v>
      </c>
      <c r="I88" s="236"/>
      <c r="J88" s="247">
        <f>J157</f>
        <v>382239.3144284981</v>
      </c>
      <c r="K88" s="264">
        <v>0</v>
      </c>
      <c r="L88" s="236"/>
      <c r="M88" s="247">
        <f>M157</f>
        <v>369313.41773946746</v>
      </c>
      <c r="N88" s="264">
        <v>0</v>
      </c>
      <c r="O88" s="236"/>
      <c r="P88" s="247">
        <f>P157</f>
        <v>369313.41773946746</v>
      </c>
      <c r="Q88" s="121"/>
      <c r="R88" s="121"/>
      <c r="S88" s="121"/>
      <c r="T88" s="121"/>
      <c r="U88" s="121"/>
      <c r="V88" s="121"/>
    </row>
    <row r="89" spans="1:22" ht="15.75">
      <c r="A89" s="121"/>
      <c r="B89" s="238"/>
      <c r="C89" s="239"/>
      <c r="D89" s="265" t="s">
        <v>489</v>
      </c>
      <c r="E89" s="809">
        <f>E158</f>
        <v>855608.00798076903</v>
      </c>
      <c r="F89" s="265"/>
      <c r="G89" s="266"/>
      <c r="H89" s="809">
        <f>H158</f>
        <v>826674.40384615376</v>
      </c>
      <c r="I89" s="265"/>
      <c r="J89" s="266"/>
      <c r="K89" s="265">
        <f>K158</f>
        <v>798719.23076923075</v>
      </c>
      <c r="L89" s="265"/>
      <c r="M89" s="266"/>
      <c r="N89" s="265">
        <f>N158</f>
        <v>798719.23076923075</v>
      </c>
      <c r="O89" s="265"/>
      <c r="P89" s="266"/>
      <c r="Q89" s="121"/>
      <c r="R89" s="121"/>
      <c r="S89" s="121"/>
      <c r="T89" s="121"/>
      <c r="U89" s="121"/>
      <c r="V89" s="121"/>
    </row>
    <row r="90" spans="1:22" ht="15.75">
      <c r="A90" s="121"/>
      <c r="B90" s="834">
        <v>184</v>
      </c>
      <c r="C90" s="267">
        <v>1</v>
      </c>
      <c r="D90" s="236" t="s">
        <v>490</v>
      </c>
      <c r="E90" s="832">
        <f>E159</f>
        <v>51070</v>
      </c>
      <c r="F90" s="236"/>
      <c r="G90" s="237"/>
      <c r="H90" s="832">
        <f>H159</f>
        <v>36752.400000000001</v>
      </c>
      <c r="I90" s="236"/>
      <c r="J90" s="237"/>
      <c r="K90" s="236">
        <f>K159</f>
        <v>36752.400000000001</v>
      </c>
      <c r="L90" s="236"/>
      <c r="M90" s="237"/>
      <c r="N90" s="236">
        <f>N159</f>
        <v>36752.400000000001</v>
      </c>
      <c r="O90" s="236"/>
      <c r="P90" s="237"/>
      <c r="Q90" s="121"/>
      <c r="R90" s="121"/>
      <c r="S90" s="121"/>
      <c r="T90" s="121"/>
      <c r="U90" s="121"/>
      <c r="V90" s="121"/>
    </row>
    <row r="91" spans="1:22" ht="15.75">
      <c r="A91" s="121"/>
      <c r="B91" s="835">
        <v>204</v>
      </c>
      <c r="C91" s="268">
        <v>1</v>
      </c>
      <c r="D91" s="828" t="s">
        <v>491</v>
      </c>
      <c r="E91" s="833">
        <f>E160</f>
        <v>38148</v>
      </c>
      <c r="F91" s="829"/>
      <c r="G91" s="830"/>
      <c r="H91" s="833">
        <f>H160</f>
        <v>27453.67</v>
      </c>
      <c r="I91" s="829"/>
      <c r="J91" s="830"/>
      <c r="K91" s="829">
        <f>K160</f>
        <v>27453.599999999999</v>
      </c>
      <c r="L91" s="236"/>
      <c r="M91" s="237"/>
      <c r="N91" s="236">
        <f>N160</f>
        <v>27453.599999999999</v>
      </c>
      <c r="O91" s="236"/>
      <c r="P91" s="237"/>
      <c r="Q91" s="121"/>
      <c r="R91" s="121"/>
      <c r="S91" s="121"/>
      <c r="T91" s="121"/>
      <c r="U91" s="121"/>
      <c r="V91" s="121"/>
    </row>
    <row r="92" spans="1:22" ht="15.75">
      <c r="A92" s="121"/>
      <c r="B92" s="836">
        <v>234</v>
      </c>
      <c r="C92" s="268">
        <v>1</v>
      </c>
      <c r="D92" s="826" t="s">
        <v>551</v>
      </c>
      <c r="E92" s="833">
        <f t="shared" ref="E92:E93" si="18">E161</f>
        <v>36000</v>
      </c>
      <c r="F92" s="839" t="s">
        <v>554</v>
      </c>
      <c r="G92" s="237"/>
      <c r="H92" s="833">
        <f t="shared" ref="H92:H93" si="19">H161</f>
        <v>36000</v>
      </c>
      <c r="I92" s="839" t="s">
        <v>554</v>
      </c>
      <c r="J92" s="237"/>
      <c r="K92" s="825"/>
      <c r="L92" s="236"/>
      <c r="M92" s="237"/>
      <c r="N92" s="825"/>
      <c r="O92" s="236"/>
      <c r="P92" s="237"/>
      <c r="Q92" s="121"/>
      <c r="R92" s="121"/>
      <c r="S92" s="121"/>
      <c r="T92" s="121"/>
      <c r="U92" s="121"/>
      <c r="V92" s="121"/>
    </row>
    <row r="93" spans="1:22" ht="16.5" thickBot="1">
      <c r="A93" s="121"/>
      <c r="B93" s="837">
        <v>244</v>
      </c>
      <c r="C93" s="824">
        <v>1</v>
      </c>
      <c r="D93" s="827" t="s">
        <v>552</v>
      </c>
      <c r="E93" s="833">
        <f t="shared" si="18"/>
        <v>24000</v>
      </c>
      <c r="F93" s="841">
        <f>SUM(E90:E94)</f>
        <v>182625.75377500011</v>
      </c>
      <c r="G93" s="237"/>
      <c r="H93" s="833">
        <f t="shared" si="19"/>
        <v>24000</v>
      </c>
      <c r="I93" s="841">
        <f>SUM(H90:H94)</f>
        <v>131443.96500000003</v>
      </c>
      <c r="J93" s="237"/>
      <c r="K93" s="825"/>
      <c r="L93" s="236"/>
      <c r="M93" s="237"/>
      <c r="N93" s="825"/>
      <c r="O93" s="236"/>
      <c r="P93" s="237"/>
      <c r="Q93" s="121"/>
      <c r="R93" s="121"/>
      <c r="S93" s="121"/>
      <c r="T93" s="121"/>
      <c r="U93" s="121"/>
      <c r="V93" s="121"/>
    </row>
    <row r="94" spans="1:22" ht="16.5" thickBot="1">
      <c r="A94" s="121"/>
      <c r="B94" s="838">
        <v>284</v>
      </c>
      <c r="C94" s="270">
        <v>1</v>
      </c>
      <c r="D94" s="831" t="s">
        <v>553</v>
      </c>
      <c r="E94" s="271">
        <f>E163</f>
        <v>33407.753775000107</v>
      </c>
      <c r="F94" s="840">
        <f>F93/F104</f>
        <v>0.21485382797058836</v>
      </c>
      <c r="G94" s="237"/>
      <c r="H94" s="271">
        <f>H163</f>
        <v>7237.8950000000186</v>
      </c>
      <c r="I94" s="840">
        <f>I93/I104</f>
        <v>0.16933200000000004</v>
      </c>
      <c r="J94" s="237"/>
      <c r="K94" s="271">
        <f>K163</f>
        <v>62793</v>
      </c>
      <c r="L94" s="239"/>
      <c r="M94" s="237"/>
      <c r="N94" s="272"/>
      <c r="O94" s="239"/>
      <c r="P94" s="237"/>
      <c r="Q94" s="121"/>
      <c r="R94" s="121"/>
      <c r="S94" s="121"/>
      <c r="T94" s="121"/>
      <c r="U94" s="121"/>
      <c r="V94" s="121"/>
    </row>
    <row r="95" spans="1:22" ht="15.75">
      <c r="A95" s="121"/>
      <c r="B95" s="243"/>
      <c r="C95" s="236"/>
      <c r="D95" s="273" t="s">
        <v>492</v>
      </c>
      <c r="E95" s="810">
        <f>E164</f>
        <v>1038233.7617557691</v>
      </c>
      <c r="F95" s="273"/>
      <c r="G95" s="274"/>
      <c r="H95" s="810">
        <f>H164</f>
        <v>958118.36884615384</v>
      </c>
      <c r="I95" s="273"/>
      <c r="J95" s="274"/>
      <c r="K95" s="273">
        <f>K164</f>
        <v>925718.23076923075</v>
      </c>
      <c r="L95" s="273"/>
      <c r="M95" s="274"/>
      <c r="N95" s="273">
        <f>N164</f>
        <v>862925.23076923075</v>
      </c>
      <c r="O95" s="273"/>
      <c r="P95" s="274"/>
      <c r="Q95" s="121"/>
      <c r="R95" s="121"/>
      <c r="S95" s="121"/>
      <c r="T95" s="121"/>
      <c r="U95" s="121"/>
      <c r="V95" s="121"/>
    </row>
    <row r="96" spans="1:22" ht="15.75">
      <c r="A96" s="121"/>
      <c r="B96" s="238">
        <v>440</v>
      </c>
      <c r="C96" s="239"/>
      <c r="D96" s="263" t="s">
        <v>493</v>
      </c>
      <c r="E96" s="658">
        <v>0</v>
      </c>
      <c r="F96" s="239">
        <f t="shared" ref="F96:F102" si="20">F165</f>
        <v>0</v>
      </c>
      <c r="G96" s="237"/>
      <c r="H96" s="658">
        <v>0</v>
      </c>
      <c r="I96" s="239">
        <f t="shared" ref="I96:I102" si="21">I165</f>
        <v>0</v>
      </c>
      <c r="J96" s="237"/>
      <c r="K96" s="275">
        <v>0</v>
      </c>
      <c r="L96" s="239">
        <f t="shared" ref="L96:L102" si="22">L165</f>
        <v>0</v>
      </c>
      <c r="M96" s="237"/>
      <c r="N96" s="275">
        <v>0</v>
      </c>
      <c r="O96" s="239">
        <f t="shared" ref="O96:O102" si="23">O165</f>
        <v>0</v>
      </c>
      <c r="P96" s="237"/>
      <c r="Q96" s="121"/>
      <c r="R96" s="121"/>
      <c r="S96" s="121"/>
      <c r="T96" s="121"/>
      <c r="U96" s="121"/>
      <c r="V96" s="121"/>
    </row>
    <row r="97" spans="1:22" ht="15.75">
      <c r="A97" s="121"/>
      <c r="B97" s="243">
        <v>502</v>
      </c>
      <c r="C97" s="276" t="s">
        <v>494</v>
      </c>
      <c r="D97" s="236" t="s">
        <v>495</v>
      </c>
      <c r="E97" s="645"/>
      <c r="F97" s="236">
        <f t="shared" si="20"/>
        <v>-162565.52151634614</v>
      </c>
      <c r="G97" s="237"/>
      <c r="H97" s="645"/>
      <c r="I97" s="236">
        <f t="shared" si="21"/>
        <v>-157068.13673076921</v>
      </c>
      <c r="J97" s="237"/>
      <c r="K97" s="236"/>
      <c r="L97" s="236">
        <f t="shared" si="22"/>
        <v>-151756.65384615384</v>
      </c>
      <c r="M97" s="237"/>
      <c r="N97" s="236"/>
      <c r="O97" s="236">
        <f t="shared" si="23"/>
        <v>-151756.65384615384</v>
      </c>
      <c r="P97" s="237"/>
      <c r="Q97" s="121"/>
      <c r="R97" s="121"/>
      <c r="S97" s="121"/>
      <c r="T97" s="121"/>
      <c r="U97" s="121"/>
      <c r="V97" s="121"/>
    </row>
    <row r="98" spans="1:22" ht="15.75">
      <c r="A98" s="121"/>
      <c r="B98" s="243">
        <v>505</v>
      </c>
      <c r="C98" s="277">
        <v>0.03</v>
      </c>
      <c r="D98" s="236" t="s">
        <v>496</v>
      </c>
      <c r="E98" s="645"/>
      <c r="F98" s="236">
        <f t="shared" si="20"/>
        <v>-25668.24023942307</v>
      </c>
      <c r="G98" s="237"/>
      <c r="H98" s="645"/>
      <c r="I98" s="236">
        <f t="shared" si="21"/>
        <v>-24800.232115384613</v>
      </c>
      <c r="J98" s="237"/>
      <c r="K98" s="236"/>
      <c r="L98" s="236">
        <f t="shared" si="22"/>
        <v>-23961.576923076922</v>
      </c>
      <c r="M98" s="237"/>
      <c r="N98" s="236"/>
      <c r="O98" s="236">
        <f t="shared" si="23"/>
        <v>-23961.576923076922</v>
      </c>
      <c r="P98" s="237"/>
      <c r="Q98" s="121"/>
      <c r="R98" s="121"/>
      <c r="S98" s="121"/>
      <c r="T98" s="121"/>
      <c r="U98" s="121"/>
      <c r="V98" s="121"/>
    </row>
    <row r="99" spans="1:22" ht="15.75">
      <c r="A99" s="121"/>
      <c r="B99" s="238">
        <v>510</v>
      </c>
      <c r="C99" s="239"/>
      <c r="D99" s="239" t="s">
        <v>497</v>
      </c>
      <c r="E99" s="658">
        <v>0</v>
      </c>
      <c r="F99" s="239">
        <f t="shared" si="20"/>
        <v>0</v>
      </c>
      <c r="G99" s="237"/>
      <c r="H99" s="658">
        <v>0</v>
      </c>
      <c r="I99" s="239">
        <f t="shared" si="21"/>
        <v>0</v>
      </c>
      <c r="J99" s="237"/>
      <c r="K99" s="275">
        <v>0</v>
      </c>
      <c r="L99" s="239">
        <f t="shared" si="22"/>
        <v>0</v>
      </c>
      <c r="M99" s="237"/>
      <c r="N99" s="275">
        <v>0</v>
      </c>
      <c r="O99" s="239">
        <f t="shared" si="23"/>
        <v>0</v>
      </c>
      <c r="P99" s="237"/>
      <c r="Q99" s="121"/>
      <c r="R99" s="121"/>
      <c r="S99" s="121"/>
      <c r="T99" s="121"/>
      <c r="U99" s="121"/>
      <c r="V99" s="121"/>
    </row>
    <row r="100" spans="1:22" ht="15.75">
      <c r="A100" s="121"/>
      <c r="B100" s="243">
        <v>332</v>
      </c>
      <c r="C100" s="278">
        <v>0</v>
      </c>
      <c r="D100" s="236" t="s">
        <v>498</v>
      </c>
      <c r="E100" s="645">
        <f>E169</f>
        <v>0</v>
      </c>
      <c r="F100" s="236">
        <f t="shared" si="20"/>
        <v>0</v>
      </c>
      <c r="G100" s="237"/>
      <c r="H100" s="645">
        <f>H169</f>
        <v>0</v>
      </c>
      <c r="I100" s="236">
        <f t="shared" si="21"/>
        <v>0</v>
      </c>
      <c r="J100" s="237"/>
      <c r="K100" s="236"/>
      <c r="L100" s="236">
        <f t="shared" si="22"/>
        <v>0</v>
      </c>
      <c r="M100" s="237"/>
      <c r="N100" s="236"/>
      <c r="O100" s="236">
        <f t="shared" si="23"/>
        <v>0</v>
      </c>
      <c r="P100" s="237"/>
      <c r="Q100" s="121"/>
      <c r="R100" s="121"/>
      <c r="S100" s="121"/>
      <c r="T100" s="121"/>
      <c r="U100" s="121"/>
      <c r="V100" s="121"/>
    </row>
    <row r="101" spans="1:22" ht="15.75">
      <c r="A101" s="121"/>
      <c r="B101" s="279"/>
      <c r="C101" s="278"/>
      <c r="D101" s="239" t="s">
        <v>499</v>
      </c>
      <c r="E101" s="658">
        <v>0</v>
      </c>
      <c r="F101" s="239">
        <f t="shared" si="20"/>
        <v>0</v>
      </c>
      <c r="G101" s="237"/>
      <c r="H101" s="658">
        <v>0</v>
      </c>
      <c r="I101" s="239">
        <f t="shared" si="21"/>
        <v>0</v>
      </c>
      <c r="J101" s="237"/>
      <c r="K101" s="275">
        <v>0</v>
      </c>
      <c r="L101" s="239">
        <f t="shared" si="22"/>
        <v>0</v>
      </c>
      <c r="M101" s="237"/>
      <c r="N101" s="275">
        <v>0</v>
      </c>
      <c r="O101" s="239">
        <f t="shared" si="23"/>
        <v>0</v>
      </c>
      <c r="P101" s="237"/>
      <c r="Q101" s="121"/>
      <c r="R101" s="121"/>
      <c r="S101" s="121"/>
      <c r="T101" s="121"/>
      <c r="U101" s="121"/>
      <c r="V101" s="121"/>
    </row>
    <row r="102" spans="1:22" ht="15.75">
      <c r="A102" s="121"/>
      <c r="B102" s="280"/>
      <c r="C102" s="281"/>
      <c r="D102" s="282" t="s">
        <v>500</v>
      </c>
      <c r="E102" s="283"/>
      <c r="F102" s="283">
        <f t="shared" si="20"/>
        <v>-188233.7617557692</v>
      </c>
      <c r="G102" s="284"/>
      <c r="H102" s="283"/>
      <c r="I102" s="283">
        <f t="shared" si="21"/>
        <v>-181868.36884615384</v>
      </c>
      <c r="J102" s="284"/>
      <c r="K102" s="282"/>
      <c r="L102" s="283">
        <f t="shared" si="22"/>
        <v>-175718.23076923075</v>
      </c>
      <c r="M102" s="284"/>
      <c r="N102" s="282"/>
      <c r="O102" s="283">
        <f t="shared" si="23"/>
        <v>-175718.23076923075</v>
      </c>
      <c r="P102" s="284"/>
      <c r="Q102" s="121"/>
      <c r="R102" s="121"/>
      <c r="S102" s="121"/>
      <c r="T102" s="121"/>
      <c r="U102" s="121"/>
      <c r="V102" s="121"/>
    </row>
    <row r="103" spans="1:22" ht="15.75">
      <c r="A103" s="121"/>
      <c r="B103" s="285"/>
      <c r="C103" s="31"/>
      <c r="D103" s="31"/>
      <c r="E103" s="717"/>
      <c r="F103" s="31"/>
      <c r="G103" s="286"/>
      <c r="H103" s="717"/>
      <c r="I103" s="31"/>
      <c r="J103" s="286"/>
      <c r="K103" s="31"/>
      <c r="L103" s="31"/>
      <c r="M103" s="286"/>
      <c r="N103" s="31"/>
      <c r="O103" s="31"/>
      <c r="P103" s="286"/>
      <c r="Q103" s="121"/>
      <c r="R103" s="121"/>
      <c r="S103" s="121"/>
      <c r="T103" s="121"/>
      <c r="U103" s="121"/>
      <c r="V103" s="121"/>
    </row>
    <row r="104" spans="1:22" ht="19.5">
      <c r="A104" s="287"/>
      <c r="B104" s="287"/>
      <c r="C104" s="287"/>
      <c r="D104" s="288"/>
      <c r="E104" s="289" t="str">
        <f t="shared" ref="E104:F104" si="24">E173</f>
        <v>Sueldo líquido</v>
      </c>
      <c r="F104" s="290">
        <f t="shared" si="24"/>
        <v>850000</v>
      </c>
      <c r="G104" s="287"/>
      <c r="H104" s="289" t="str">
        <f t="shared" ref="H104:I104" si="25">H173</f>
        <v>Sueldo líquido</v>
      </c>
      <c r="I104" s="290">
        <f t="shared" si="25"/>
        <v>776250</v>
      </c>
      <c r="J104" s="287"/>
      <c r="K104" s="289" t="str">
        <f t="shared" ref="K104:L104" si="26">K173</f>
        <v>Sueldo líquido</v>
      </c>
      <c r="L104" s="290">
        <f t="shared" si="26"/>
        <v>750000</v>
      </c>
      <c r="M104" s="287"/>
      <c r="N104" s="289" t="str">
        <f t="shared" ref="N104:O104" si="27">N173</f>
        <v>Sueldo líquido</v>
      </c>
      <c r="O104" s="290">
        <f t="shared" si="27"/>
        <v>687207</v>
      </c>
      <c r="P104" s="287"/>
      <c r="Q104" s="287"/>
      <c r="R104" s="287"/>
      <c r="S104" s="287"/>
      <c r="T104" s="287"/>
      <c r="U104" s="287"/>
      <c r="V104" s="287"/>
    </row>
    <row r="105" spans="1:22" ht="15.75">
      <c r="A105" s="121"/>
      <c r="B105" s="31"/>
      <c r="C105" s="31"/>
      <c r="D105" s="189"/>
      <c r="E105" s="291"/>
      <c r="F105" s="292"/>
      <c r="G105" s="286"/>
      <c r="H105" s="291"/>
      <c r="I105" s="292"/>
      <c r="J105" s="286"/>
      <c r="K105" s="291"/>
      <c r="L105" s="292"/>
      <c r="M105" s="286"/>
      <c r="N105" s="291"/>
      <c r="O105" s="292"/>
      <c r="P105" s="286"/>
      <c r="Q105" s="121"/>
      <c r="R105" s="121"/>
      <c r="S105" s="121"/>
      <c r="T105" s="121"/>
      <c r="U105" s="121"/>
      <c r="V105" s="121"/>
    </row>
    <row r="106" spans="1:22" ht="15.75">
      <c r="A106" s="121"/>
      <c r="B106" s="31"/>
      <c r="C106" s="31"/>
      <c r="D106" s="189"/>
      <c r="E106" s="293"/>
      <c r="F106" s="293"/>
      <c r="G106" s="286"/>
      <c r="H106" s="293"/>
      <c r="I106" s="293"/>
      <c r="J106" s="286"/>
      <c r="K106" s="293"/>
      <c r="L106" s="293"/>
      <c r="M106" s="286"/>
      <c r="N106" s="293"/>
      <c r="O106" s="293"/>
      <c r="P106" s="286"/>
      <c r="Q106" s="121"/>
      <c r="R106" s="121"/>
      <c r="S106" s="121"/>
      <c r="T106" s="121"/>
      <c r="U106" s="121"/>
      <c r="V106" s="121"/>
    </row>
    <row r="107" spans="1:22" ht="15.75">
      <c r="A107" s="121"/>
      <c r="B107" s="31"/>
      <c r="C107" s="37"/>
      <c r="D107" s="85"/>
      <c r="E107" s="293" t="str">
        <f>E176</f>
        <v>Total remunerativos</v>
      </c>
      <c r="F107" s="293"/>
      <c r="G107" s="286"/>
      <c r="H107" s="293" t="str">
        <f>H176</f>
        <v>Total remunerativos</v>
      </c>
      <c r="I107" s="293"/>
      <c r="J107" s="286"/>
      <c r="K107" s="293" t="str">
        <f>K176</f>
        <v>Total remunerativos</v>
      </c>
      <c r="L107" s="293"/>
      <c r="M107" s="286"/>
      <c r="N107" s="293" t="str">
        <f>N176</f>
        <v>Total remunerativos</v>
      </c>
      <c r="O107" s="293"/>
      <c r="P107" s="286"/>
      <c r="Q107" s="121"/>
      <c r="R107" s="121"/>
      <c r="S107" s="121"/>
      <c r="T107" s="121"/>
      <c r="U107" s="121"/>
      <c r="V107" s="121"/>
    </row>
    <row r="108" spans="1:22" ht="18">
      <c r="A108" s="121"/>
      <c r="B108" s="31"/>
      <c r="C108" s="31"/>
      <c r="D108" s="294"/>
      <c r="E108" s="293">
        <f t="shared" ref="E108:F108" si="28">E177</f>
        <v>678195.15195296751</v>
      </c>
      <c r="F108" s="293">
        <f t="shared" si="28"/>
        <v>0</v>
      </c>
      <c r="G108" s="286"/>
      <c r="H108" s="293">
        <f t="shared" ref="H108:I111" si="29">H177</f>
        <v>658441.89509996853</v>
      </c>
      <c r="I108" s="293">
        <f t="shared" si="29"/>
        <v>0</v>
      </c>
      <c r="J108" s="286"/>
      <c r="K108" s="293">
        <f t="shared" ref="K108:L111" si="30">K177</f>
        <v>636175.66865979542</v>
      </c>
      <c r="L108" s="293">
        <f t="shared" si="30"/>
        <v>0</v>
      </c>
      <c r="M108" s="286"/>
      <c r="N108" s="293">
        <f t="shared" ref="N108:O111" si="31">N177</f>
        <v>636175.66865979542</v>
      </c>
      <c r="O108" s="293">
        <f t="shared" si="31"/>
        <v>0</v>
      </c>
      <c r="P108" s="286"/>
      <c r="Q108" s="121"/>
      <c r="R108" s="121"/>
      <c r="S108" s="121"/>
      <c r="T108" s="121"/>
      <c r="U108" s="121"/>
      <c r="V108" s="121"/>
    </row>
    <row r="109" spans="1:22" ht="16.5" thickBot="1">
      <c r="A109" s="121"/>
      <c r="B109" s="31"/>
      <c r="C109" s="31"/>
      <c r="D109" s="31"/>
      <c r="E109" s="285">
        <f t="shared" ref="E109:F109" si="32">E178</f>
        <v>0</v>
      </c>
      <c r="F109" s="285">
        <f t="shared" si="32"/>
        <v>0</v>
      </c>
      <c r="G109" s="286"/>
      <c r="H109" s="285">
        <f t="shared" si="29"/>
        <v>0</v>
      </c>
      <c r="I109" s="285">
        <f t="shared" si="29"/>
        <v>0</v>
      </c>
      <c r="J109" s="286"/>
      <c r="K109" s="285">
        <f t="shared" si="30"/>
        <v>0</v>
      </c>
      <c r="L109" s="285">
        <f t="shared" si="30"/>
        <v>0</v>
      </c>
      <c r="M109" s="286"/>
      <c r="N109" s="285">
        <f t="shared" si="31"/>
        <v>0</v>
      </c>
      <c r="O109" s="285">
        <f t="shared" si="31"/>
        <v>0</v>
      </c>
      <c r="P109" s="286"/>
      <c r="Q109" s="121"/>
      <c r="R109" s="121"/>
      <c r="S109" s="121"/>
      <c r="T109" s="121"/>
      <c r="U109" s="121"/>
      <c r="V109" s="121"/>
    </row>
    <row r="110" spans="1:22" ht="18">
      <c r="A110" s="121"/>
      <c r="B110" s="31"/>
      <c r="C110" s="31"/>
      <c r="D110" s="31"/>
      <c r="E110" s="295" t="str">
        <f t="shared" ref="E110:F110" si="33">E179</f>
        <v>Aumento del mes</v>
      </c>
      <c r="F110" s="296">
        <f t="shared" si="33"/>
        <v>73750</v>
      </c>
      <c r="G110" s="286"/>
      <c r="H110" s="295" t="str">
        <f t="shared" si="29"/>
        <v>Aumento del mes</v>
      </c>
      <c r="I110" s="296">
        <f t="shared" si="29"/>
        <v>26250</v>
      </c>
      <c r="J110" s="286"/>
      <c r="K110" s="295" t="str">
        <f t="shared" si="30"/>
        <v>Aumento del mes</v>
      </c>
      <c r="L110" s="296">
        <f t="shared" si="30"/>
        <v>62793</v>
      </c>
      <c r="M110" s="286"/>
      <c r="N110" s="295" t="str">
        <f t="shared" si="31"/>
        <v>Aumento del mes</v>
      </c>
      <c r="O110" s="296">
        <f t="shared" si="31"/>
        <v>0</v>
      </c>
      <c r="P110" s="286"/>
      <c r="Q110" s="121"/>
      <c r="R110" s="121"/>
      <c r="S110" s="121"/>
      <c r="T110" s="121"/>
      <c r="U110" s="121"/>
      <c r="V110" s="121"/>
    </row>
    <row r="111" spans="1:22" ht="18.75" thickBot="1">
      <c r="A111" s="121"/>
      <c r="B111" s="31"/>
      <c r="C111" s="31"/>
      <c r="D111" s="31"/>
      <c r="E111" s="297" t="str">
        <f t="shared" ref="E111:F111" si="34">E180</f>
        <v>Porc resp a anterior</v>
      </c>
      <c r="F111" s="298">
        <f t="shared" si="34"/>
        <v>9.5008051529790666E-2</v>
      </c>
      <c r="G111" s="286"/>
      <c r="H111" s="297" t="str">
        <f t="shared" si="29"/>
        <v>Porc resp a anterior</v>
      </c>
      <c r="I111" s="298">
        <f t="shared" si="29"/>
        <v>3.5000000000000003E-2</v>
      </c>
      <c r="J111" s="286"/>
      <c r="K111" s="297" t="str">
        <f t="shared" si="30"/>
        <v>Porc resp a anterior</v>
      </c>
      <c r="L111" s="298">
        <f t="shared" si="30"/>
        <v>9.1374214756252486E-2</v>
      </c>
      <c r="M111" s="286"/>
      <c r="N111" s="297" t="str">
        <f t="shared" si="31"/>
        <v>Porc resp a anterior</v>
      </c>
      <c r="O111" s="298">
        <f t="shared" si="31"/>
        <v>0</v>
      </c>
      <c r="P111" s="286"/>
      <c r="Q111" s="121"/>
      <c r="R111" s="121"/>
      <c r="S111" s="121"/>
      <c r="T111" s="121"/>
      <c r="U111" s="121"/>
      <c r="V111" s="121"/>
    </row>
    <row r="112" spans="1:22" ht="16.5" thickBot="1">
      <c r="A112" s="121"/>
      <c r="B112" s="31"/>
      <c r="C112" s="31"/>
      <c r="D112" s="31"/>
      <c r="E112" s="299"/>
      <c r="F112" s="300"/>
      <c r="G112" s="286"/>
      <c r="H112" s="299"/>
      <c r="I112" s="300"/>
      <c r="J112" s="286"/>
      <c r="K112" s="299"/>
      <c r="L112" s="300"/>
      <c r="M112" s="286"/>
      <c r="N112" s="299"/>
      <c r="O112" s="300"/>
      <c r="P112" s="286"/>
      <c r="Q112" s="121"/>
      <c r="R112" s="121"/>
      <c r="S112" s="121"/>
      <c r="T112" s="121"/>
      <c r="U112" s="121"/>
      <c r="V112" s="121"/>
    </row>
    <row r="113" spans="1:22" ht="18.75" thickBot="1">
      <c r="A113" s="121"/>
      <c r="B113" s="31"/>
      <c r="C113" s="31"/>
      <c r="D113" s="31"/>
      <c r="E113" s="301" t="str">
        <f t="shared" ref="E113:F113" si="35">E182</f>
        <v>Aumento Remunerativo</v>
      </c>
      <c r="F113" s="302">
        <f t="shared" si="35"/>
        <v>22568.211224999977</v>
      </c>
      <c r="G113" s="286"/>
      <c r="H113" s="301" t="str">
        <f t="shared" ref="H113:I114" si="36">H182</f>
        <v>Aumento Remunerativo</v>
      </c>
      <c r="I113" s="302">
        <f t="shared" si="36"/>
        <v>21805.034999999916</v>
      </c>
      <c r="J113" s="286"/>
      <c r="K113" s="301" t="str">
        <f t="shared" ref="K113:L114" si="37">K182</f>
        <v>Aumento Remunerativo</v>
      </c>
      <c r="L113" s="302">
        <f t="shared" si="37"/>
        <v>0</v>
      </c>
      <c r="M113" s="286"/>
      <c r="N113" s="301" t="str">
        <f t="shared" ref="N113:O114" si="38">N182</f>
        <v>Aumento Remunerativo</v>
      </c>
      <c r="O113" s="302">
        <f t="shared" si="38"/>
        <v>0</v>
      </c>
      <c r="P113" s="286"/>
      <c r="Q113" s="121"/>
      <c r="R113" s="121"/>
      <c r="S113" s="121"/>
      <c r="T113" s="121"/>
      <c r="U113" s="121"/>
      <c r="V113" s="121"/>
    </row>
    <row r="114" spans="1:22" ht="16.5" thickBot="1">
      <c r="A114" s="121"/>
      <c r="B114" s="31"/>
      <c r="C114" s="31"/>
      <c r="D114" s="31"/>
      <c r="E114" s="301" t="str">
        <f t="shared" ref="E114:F114" si="39">E183</f>
        <v>Rem Porcentual</v>
      </c>
      <c r="F114" s="303">
        <f t="shared" si="39"/>
        <v>3.2020456841008717E-2</v>
      </c>
      <c r="G114" s="286"/>
      <c r="H114" s="301" t="str">
        <f t="shared" si="36"/>
        <v>Rem Porcentual</v>
      </c>
      <c r="I114" s="303">
        <f t="shared" si="36"/>
        <v>3.4999999999999865E-2</v>
      </c>
      <c r="J114" s="286"/>
      <c r="K114" s="301" t="str">
        <f t="shared" si="37"/>
        <v>Rem Porcentual</v>
      </c>
      <c r="L114" s="303">
        <f t="shared" si="37"/>
        <v>0</v>
      </c>
      <c r="M114" s="286"/>
      <c r="N114" s="301" t="str">
        <f t="shared" si="38"/>
        <v>Rem Porcentual</v>
      </c>
      <c r="O114" s="303">
        <f t="shared" si="38"/>
        <v>0</v>
      </c>
      <c r="P114" s="286"/>
      <c r="Q114" s="121"/>
      <c r="R114" s="121"/>
      <c r="S114" s="121"/>
      <c r="T114" s="121"/>
      <c r="U114" s="121"/>
      <c r="V114" s="121"/>
    </row>
    <row r="115" spans="1:22" ht="16.5" thickBot="1">
      <c r="A115" s="121"/>
      <c r="B115" s="31"/>
      <c r="C115" s="31"/>
      <c r="D115" s="31"/>
      <c r="E115" s="299"/>
      <c r="F115" s="304"/>
      <c r="G115" s="286"/>
      <c r="H115" s="299"/>
      <c r="I115" s="304"/>
      <c r="J115" s="286"/>
      <c r="K115" s="299"/>
      <c r="L115" s="304"/>
      <c r="M115" s="286"/>
      <c r="N115" s="299"/>
      <c r="O115" s="304"/>
      <c r="P115" s="286"/>
      <c r="Q115" s="121"/>
      <c r="R115" s="121"/>
      <c r="S115" s="121"/>
      <c r="T115" s="121"/>
      <c r="U115" s="121"/>
      <c r="V115" s="121"/>
    </row>
    <row r="116" spans="1:22" ht="15.75">
      <c r="A116" s="121"/>
      <c r="B116" s="31"/>
      <c r="C116" s="31"/>
      <c r="D116" s="31"/>
      <c r="E116" s="305" t="str">
        <f t="shared" ref="E116:F116" si="40">E185</f>
        <v>Aumento acumulado</v>
      </c>
      <c r="F116" s="306">
        <f t="shared" si="40"/>
        <v>162793</v>
      </c>
      <c r="G116" s="286"/>
      <c r="H116" s="305" t="str">
        <f t="shared" ref="H116:I117" si="41">H185</f>
        <v>Aumento acumulado</v>
      </c>
      <c r="I116" s="306">
        <f t="shared" si="41"/>
        <v>89043</v>
      </c>
      <c r="J116" s="286"/>
      <c r="K116" s="305" t="str">
        <f t="shared" ref="K116:L117" si="42">K185</f>
        <v>Aumento acumulado</v>
      </c>
      <c r="L116" s="306">
        <f t="shared" si="42"/>
        <v>62793</v>
      </c>
      <c r="M116" s="286"/>
      <c r="N116" s="305" t="str">
        <f t="shared" ref="N116:O117" si="43">N185</f>
        <v>Aumento acumulado</v>
      </c>
      <c r="O116" s="306">
        <f t="shared" si="43"/>
        <v>0</v>
      </c>
      <c r="P116" s="286"/>
      <c r="Q116" s="121"/>
      <c r="R116" s="121"/>
      <c r="S116" s="121"/>
      <c r="T116" s="121"/>
      <c r="U116" s="121"/>
      <c r="V116" s="121"/>
    </row>
    <row r="117" spans="1:22" ht="16.5" thickBot="1">
      <c r="A117" s="121"/>
      <c r="B117" s="31"/>
      <c r="C117" s="31"/>
      <c r="D117" s="31"/>
      <c r="E117" s="307" t="str">
        <f t="shared" ref="E117:F117" si="44">E186</f>
        <v>Porcentaje acumulado</v>
      </c>
      <c r="F117" s="308">
        <f t="shared" si="44"/>
        <v>0.23689077672375281</v>
      </c>
      <c r="G117" s="286"/>
      <c r="H117" s="307" t="str">
        <f t="shared" si="41"/>
        <v>Porcentaje acumulado</v>
      </c>
      <c r="I117" s="308">
        <f t="shared" si="41"/>
        <v>0.12957231227272131</v>
      </c>
      <c r="J117" s="286"/>
      <c r="K117" s="307" t="str">
        <f t="shared" si="42"/>
        <v>Porcentaje acumulado</v>
      </c>
      <c r="L117" s="308">
        <f t="shared" si="42"/>
        <v>9.1374214756252486E-2</v>
      </c>
      <c r="M117" s="286"/>
      <c r="N117" s="307" t="str">
        <f t="shared" si="43"/>
        <v>Porcentaje acumulado</v>
      </c>
      <c r="O117" s="308">
        <f t="shared" si="43"/>
        <v>0</v>
      </c>
      <c r="P117" s="286"/>
      <c r="Q117" s="121"/>
      <c r="R117" s="121"/>
      <c r="S117" s="121"/>
      <c r="T117" s="121"/>
      <c r="U117" s="121"/>
      <c r="V117" s="121"/>
    </row>
    <row r="118" spans="1:22" ht="16.5" thickBot="1">
      <c r="A118" s="121"/>
      <c r="B118" s="31"/>
      <c r="C118" s="31"/>
      <c r="D118" s="31"/>
      <c r="E118" s="299"/>
      <c r="F118" s="300"/>
      <c r="G118" s="286"/>
      <c r="H118" s="299"/>
      <c r="I118" s="300"/>
      <c r="J118" s="286"/>
      <c r="K118" s="299"/>
      <c r="L118" s="300"/>
      <c r="M118" s="286"/>
      <c r="N118" s="299"/>
      <c r="O118" s="300"/>
      <c r="P118" s="286"/>
      <c r="Q118" s="121"/>
      <c r="R118" s="121"/>
      <c r="S118" s="121"/>
      <c r="T118" s="121"/>
      <c r="U118" s="121"/>
      <c r="V118" s="121"/>
    </row>
    <row r="119" spans="1:22" ht="15.75">
      <c r="A119" s="121"/>
      <c r="B119" s="31"/>
      <c r="C119" s="31"/>
      <c r="D119" s="31"/>
      <c r="E119" s="309" t="s">
        <v>501</v>
      </c>
      <c r="F119" s="310">
        <f>F188</f>
        <v>44373.246224999893</v>
      </c>
      <c r="G119" s="286"/>
      <c r="H119" s="309" t="s">
        <v>501</v>
      </c>
      <c r="I119" s="310">
        <f>I188</f>
        <v>21805.034999999916</v>
      </c>
      <c r="J119" s="286"/>
      <c r="K119" s="309" t="s">
        <v>501</v>
      </c>
      <c r="L119" s="310">
        <f>L188</f>
        <v>0</v>
      </c>
      <c r="M119" s="286"/>
      <c r="N119" s="309" t="s">
        <v>501</v>
      </c>
      <c r="O119" s="310">
        <f>O188</f>
        <v>0</v>
      </c>
      <c r="P119" s="286"/>
      <c r="Q119" s="121"/>
      <c r="R119" s="121"/>
      <c r="S119" s="121"/>
      <c r="T119" s="121"/>
      <c r="U119" s="121"/>
      <c r="V119" s="121"/>
    </row>
    <row r="120" spans="1:22" ht="16.5" thickBot="1">
      <c r="A120" s="121"/>
      <c r="B120" s="31"/>
      <c r="C120" s="31"/>
      <c r="D120" s="31"/>
      <c r="E120" s="311" t="s">
        <v>502</v>
      </c>
      <c r="F120" s="312">
        <f>F189</f>
        <v>7.122499999999983E-2</v>
      </c>
      <c r="G120" s="286"/>
      <c r="H120" s="311" t="s">
        <v>502</v>
      </c>
      <c r="I120" s="312">
        <f>I189</f>
        <v>3.4999999999999865E-2</v>
      </c>
      <c r="J120" s="286"/>
      <c r="K120" s="311" t="s">
        <v>502</v>
      </c>
      <c r="L120" s="312">
        <f>L189</f>
        <v>0</v>
      </c>
      <c r="M120" s="286"/>
      <c r="N120" s="311" t="s">
        <v>502</v>
      </c>
      <c r="O120" s="312">
        <f>O189</f>
        <v>0</v>
      </c>
      <c r="P120" s="286"/>
      <c r="Q120" s="121"/>
      <c r="R120" s="121"/>
      <c r="S120" s="121"/>
      <c r="T120" s="121"/>
      <c r="U120" s="121"/>
      <c r="V120" s="121"/>
    </row>
    <row r="121" spans="1:22" ht="16.5" thickBot="1">
      <c r="A121" s="121"/>
      <c r="B121" s="31"/>
      <c r="C121" s="31"/>
      <c r="D121" s="31"/>
      <c r="E121" s="293"/>
      <c r="F121" s="293"/>
      <c r="G121" s="286"/>
      <c r="H121" s="293"/>
      <c r="I121" s="293"/>
      <c r="J121" s="286"/>
      <c r="K121" s="293"/>
      <c r="L121" s="293"/>
      <c r="M121" s="286"/>
      <c r="N121" s="293"/>
      <c r="O121" s="293"/>
      <c r="P121" s="286"/>
      <c r="Q121" s="121"/>
      <c r="R121" s="121"/>
      <c r="S121" s="121"/>
      <c r="T121" s="121"/>
      <c r="U121" s="121"/>
      <c r="V121" s="121"/>
    </row>
    <row r="122" spans="1:22" ht="16.5" thickTop="1">
      <c r="A122" s="121"/>
      <c r="B122" s="121"/>
      <c r="C122" s="121"/>
      <c r="D122" s="121"/>
      <c r="E122" s="313" t="str">
        <f t="shared" ref="E122:F122" si="45">E191</f>
        <v>Medio Aguinaldo</v>
      </c>
      <c r="F122" s="314">
        <f t="shared" si="45"/>
        <v>0</v>
      </c>
      <c r="G122" s="286"/>
      <c r="H122" s="313" t="str">
        <f t="shared" ref="H122:I125" si="46">H191</f>
        <v>Medio Aguinaldo</v>
      </c>
      <c r="I122" s="314">
        <f t="shared" si="46"/>
        <v>0</v>
      </c>
      <c r="J122" s="286"/>
      <c r="K122" s="313" t="str">
        <f t="shared" ref="K122:L125" si="47">K191</f>
        <v>Medio Aguinaldo</v>
      </c>
      <c r="L122" s="314">
        <f t="shared" si="47"/>
        <v>0</v>
      </c>
      <c r="M122" s="286"/>
      <c r="N122" s="313" t="str">
        <f t="shared" ref="N122:O125" si="48">N191</f>
        <v>Medio Aguinaldo</v>
      </c>
      <c r="O122" s="314">
        <f t="shared" si="48"/>
        <v>0</v>
      </c>
      <c r="P122" s="286"/>
      <c r="Q122" s="121"/>
      <c r="R122" s="121"/>
      <c r="S122" s="121"/>
      <c r="T122" s="121"/>
      <c r="U122" s="121"/>
      <c r="V122" s="121"/>
    </row>
    <row r="123" spans="1:22" ht="15.75">
      <c r="A123" s="121"/>
      <c r="B123" s="121"/>
      <c r="C123" s="121"/>
      <c r="D123" s="121"/>
      <c r="E123" s="315" t="str">
        <f t="shared" ref="E123:F123" si="49">E192</f>
        <v>código 100</v>
      </c>
      <c r="F123" s="316">
        <f t="shared" si="49"/>
        <v>427804.00399038452</v>
      </c>
      <c r="G123" s="286"/>
      <c r="H123" s="315" t="str">
        <f t="shared" si="46"/>
        <v>código 100</v>
      </c>
      <c r="I123" s="316">
        <f t="shared" si="46"/>
        <v>413337.20192307688</v>
      </c>
      <c r="J123" s="286"/>
      <c r="K123" s="315" t="str">
        <f t="shared" si="47"/>
        <v>código 100</v>
      </c>
      <c r="L123" s="316">
        <f t="shared" si="47"/>
        <v>399359.61538461538</v>
      </c>
      <c r="M123" s="286"/>
      <c r="N123" s="315" t="str">
        <f t="shared" si="48"/>
        <v>código 100</v>
      </c>
      <c r="O123" s="316">
        <f t="shared" si="48"/>
        <v>399359.61538461538</v>
      </c>
      <c r="P123" s="286"/>
      <c r="Q123" s="121"/>
      <c r="R123" s="121"/>
      <c r="S123" s="121"/>
      <c r="T123" s="121"/>
      <c r="U123" s="121"/>
      <c r="V123" s="121"/>
    </row>
    <row r="124" spans="1:22" ht="15.75">
      <c r="A124" s="121"/>
      <c r="B124" s="121"/>
      <c r="C124" s="121"/>
      <c r="D124" s="121"/>
      <c r="E124" s="315" t="str">
        <f t="shared" ref="E124:F124" si="50">E193</f>
        <v>código 186 (No remun)</v>
      </c>
      <c r="F124" s="317">
        <f t="shared" si="50"/>
        <v>0</v>
      </c>
      <c r="G124" s="286"/>
      <c r="H124" s="315" t="str">
        <f t="shared" si="46"/>
        <v>código 186 (No remun)</v>
      </c>
      <c r="I124" s="317">
        <f t="shared" si="46"/>
        <v>0</v>
      </c>
      <c r="J124" s="286"/>
      <c r="K124" s="315" t="str">
        <f t="shared" si="47"/>
        <v>código 186 (No remun)</v>
      </c>
      <c r="L124" s="317">
        <f t="shared" si="47"/>
        <v>0</v>
      </c>
      <c r="M124" s="286"/>
      <c r="N124" s="315" t="str">
        <f t="shared" si="48"/>
        <v>código 186 (No remun)</v>
      </c>
      <c r="O124" s="317">
        <f t="shared" si="48"/>
        <v>0</v>
      </c>
      <c r="P124" s="286"/>
      <c r="Q124" s="121"/>
      <c r="R124" s="121"/>
      <c r="S124" s="121"/>
      <c r="T124" s="121"/>
      <c r="U124" s="121"/>
      <c r="V124" s="121"/>
    </row>
    <row r="125" spans="1:22" ht="15.75">
      <c r="A125" s="121"/>
      <c r="B125" s="121"/>
      <c r="C125" s="121"/>
      <c r="D125" s="121"/>
      <c r="E125" s="315" t="str">
        <f t="shared" ref="E125:F125" si="51">E194</f>
        <v>Líquido</v>
      </c>
      <c r="F125" s="317">
        <f t="shared" si="51"/>
        <v>333687.12311249995</v>
      </c>
      <c r="G125" s="286"/>
      <c r="H125" s="315" t="str">
        <f t="shared" si="46"/>
        <v>Líquido</v>
      </c>
      <c r="I125" s="317">
        <f t="shared" si="46"/>
        <v>322403.01749999996</v>
      </c>
      <c r="J125" s="286"/>
      <c r="K125" s="315" t="str">
        <f t="shared" si="47"/>
        <v>Líquido</v>
      </c>
      <c r="L125" s="317">
        <f t="shared" si="47"/>
        <v>311500.5</v>
      </c>
      <c r="M125" s="286"/>
      <c r="N125" s="315" t="str">
        <f t="shared" si="48"/>
        <v>Líquido</v>
      </c>
      <c r="O125" s="317">
        <f t="shared" si="48"/>
        <v>311500.5</v>
      </c>
      <c r="P125" s="286"/>
      <c r="Q125" s="121"/>
      <c r="R125" s="121"/>
      <c r="S125" s="121"/>
      <c r="T125" s="121"/>
      <c r="U125" s="121"/>
      <c r="V125" s="121"/>
    </row>
    <row r="126" spans="1:22" ht="15.75">
      <c r="A126" s="121"/>
      <c r="B126" s="121"/>
      <c r="C126" s="121"/>
      <c r="D126" s="121"/>
      <c r="E126" s="315" t="str">
        <f>E195</f>
        <v>Descuentos con aguinaldo</v>
      </c>
      <c r="F126" s="317"/>
      <c r="G126" s="286"/>
      <c r="H126" s="315" t="str">
        <f>H195</f>
        <v>Descuentos con aguinaldo</v>
      </c>
      <c r="I126" s="317"/>
      <c r="J126" s="286"/>
      <c r="K126" s="315" t="str">
        <f>K195</f>
        <v>Descuentos con aguinaldo</v>
      </c>
      <c r="L126" s="317"/>
      <c r="M126" s="286"/>
      <c r="N126" s="315" t="str">
        <f>N195</f>
        <v>Descuentos con aguinaldo</v>
      </c>
      <c r="O126" s="317"/>
      <c r="P126" s="286"/>
      <c r="Q126" s="121"/>
      <c r="R126" s="121"/>
      <c r="S126" s="121"/>
      <c r="T126" s="121"/>
      <c r="U126" s="121"/>
      <c r="V126" s="121"/>
    </row>
    <row r="127" spans="1:22" ht="15.75">
      <c r="A127" s="121"/>
      <c r="B127" s="121"/>
      <c r="C127" s="121"/>
      <c r="D127" s="121"/>
      <c r="E127" s="318">
        <f t="shared" ref="E127:F127" si="52">E196</f>
        <v>502</v>
      </c>
      <c r="F127" s="317">
        <f t="shared" si="52"/>
        <v>-235864.58044881647</v>
      </c>
      <c r="G127" s="286"/>
      <c r="H127" s="318">
        <f t="shared" ref="H127:I128" si="53">H196</f>
        <v>502</v>
      </c>
      <c r="I127" s="317">
        <f t="shared" si="53"/>
        <v>-231371.6220725209</v>
      </c>
      <c r="J127" s="286"/>
      <c r="K127" s="318">
        <f t="shared" ref="K127:L128" si="54">K196</f>
        <v>502</v>
      </c>
      <c r="L127" s="317">
        <f t="shared" si="54"/>
        <v>-227634.98076923075</v>
      </c>
      <c r="M127" s="286"/>
      <c r="N127" s="318">
        <f t="shared" ref="N127:O128" si="55">N196</f>
        <v>502</v>
      </c>
      <c r="O127" s="317">
        <f t="shared" si="55"/>
        <v>-227634.98076923075</v>
      </c>
      <c r="P127" s="286"/>
      <c r="Q127" s="121"/>
      <c r="R127" s="121"/>
      <c r="S127" s="121"/>
      <c r="T127" s="121"/>
      <c r="U127" s="121"/>
      <c r="V127" s="121"/>
    </row>
    <row r="128" spans="1:22" ht="15.75">
      <c r="A128" s="121"/>
      <c r="B128" s="121"/>
      <c r="C128" s="121"/>
      <c r="D128" s="121"/>
      <c r="E128" s="318">
        <f t="shared" ref="E128:F128" si="56">E197</f>
        <v>505</v>
      </c>
      <c r="F128" s="317">
        <f t="shared" si="56"/>
        <v>-37241.77586033944</v>
      </c>
      <c r="G128" s="286"/>
      <c r="H128" s="318">
        <f t="shared" si="53"/>
        <v>505</v>
      </c>
      <c r="I128" s="317">
        <f t="shared" si="53"/>
        <v>-36532.36137987172</v>
      </c>
      <c r="J128" s="286"/>
      <c r="K128" s="318">
        <f t="shared" si="54"/>
        <v>505</v>
      </c>
      <c r="L128" s="317">
        <f t="shared" si="54"/>
        <v>-35942.365384615376</v>
      </c>
      <c r="M128" s="286"/>
      <c r="N128" s="318">
        <f t="shared" si="55"/>
        <v>505</v>
      </c>
      <c r="O128" s="317">
        <f t="shared" si="55"/>
        <v>-35942.365384615376</v>
      </c>
      <c r="P128" s="286"/>
      <c r="Q128" s="121"/>
      <c r="R128" s="121"/>
      <c r="S128" s="121"/>
      <c r="T128" s="121"/>
      <c r="U128" s="121"/>
      <c r="V128" s="121"/>
    </row>
    <row r="129" spans="1:22" ht="15.75">
      <c r="A129" s="121"/>
      <c r="B129" s="121"/>
      <c r="C129" s="121"/>
      <c r="D129" s="121"/>
      <c r="E129" s="315"/>
      <c r="F129" s="317"/>
      <c r="G129" s="286"/>
      <c r="H129" s="315"/>
      <c r="I129" s="317"/>
      <c r="J129" s="286"/>
      <c r="K129" s="315"/>
      <c r="L129" s="317"/>
      <c r="M129" s="286"/>
      <c r="N129" s="315"/>
      <c r="O129" s="317"/>
      <c r="P129" s="286"/>
      <c r="Q129" s="121"/>
      <c r="R129" s="121"/>
      <c r="S129" s="121"/>
      <c r="T129" s="121"/>
      <c r="U129" s="121"/>
      <c r="V129" s="121"/>
    </row>
    <row r="130" spans="1:22" ht="15.75">
      <c r="A130" s="121"/>
      <c r="B130" s="121"/>
      <c r="C130" s="121"/>
      <c r="D130" s="121"/>
      <c r="E130" s="315" t="str">
        <f>E199</f>
        <v>Sueldo líquido incluyendo aguinaldo</v>
      </c>
      <c r="F130" s="317"/>
      <c r="G130" s="286"/>
      <c r="H130" s="315" t="str">
        <f>H199</f>
        <v>Sueldo líquido incluyendo aguinaldo</v>
      </c>
      <c r="I130" s="317"/>
      <c r="J130" s="286"/>
      <c r="K130" s="315" t="str">
        <f>K199</f>
        <v>Sueldo líquido incluyendo aguinaldo</v>
      </c>
      <c r="L130" s="317"/>
      <c r="M130" s="286"/>
      <c r="N130" s="315" t="str">
        <f>N199</f>
        <v>Sueldo líquido incluyendo aguinaldo</v>
      </c>
      <c r="O130" s="317"/>
      <c r="P130" s="286"/>
      <c r="Q130" s="121"/>
      <c r="R130" s="121"/>
      <c r="S130" s="121"/>
      <c r="T130" s="121"/>
      <c r="U130" s="121"/>
      <c r="V130" s="121"/>
    </row>
    <row r="131" spans="1:22" ht="15.75">
      <c r="A131" s="121"/>
      <c r="B131" s="121"/>
      <c r="C131" s="121"/>
      <c r="D131" s="121"/>
      <c r="E131" s="315"/>
      <c r="F131" s="316">
        <f>F200</f>
        <v>1192931.4094369977</v>
      </c>
      <c r="G131" s="286"/>
      <c r="H131" s="315"/>
      <c r="I131" s="316">
        <f>I200</f>
        <v>1103551.5873168383</v>
      </c>
      <c r="J131" s="286"/>
      <c r="K131" s="315"/>
      <c r="L131" s="316">
        <f>L200</f>
        <v>1061500.5</v>
      </c>
      <c r="M131" s="286"/>
      <c r="N131" s="315"/>
      <c r="O131" s="316">
        <f>O200</f>
        <v>998707.49999999988</v>
      </c>
      <c r="P131" s="286"/>
      <c r="Q131" s="121"/>
      <c r="R131" s="121"/>
      <c r="S131" s="121"/>
      <c r="T131" s="121"/>
      <c r="U131" s="121"/>
      <c r="V131" s="121"/>
    </row>
    <row r="132" spans="1:22" ht="15.75">
      <c r="A132" s="121"/>
      <c r="B132" s="121"/>
      <c r="C132" s="121"/>
      <c r="D132" s="121"/>
      <c r="E132" s="319" t="str">
        <f>E201</f>
        <v>Aguinaldo de bolsillo</v>
      </c>
      <c r="F132" s="320"/>
      <c r="G132" s="321"/>
      <c r="H132" s="319" t="str">
        <f>H201</f>
        <v>Aguinaldo de bolsillo</v>
      </c>
      <c r="I132" s="320"/>
      <c r="J132" s="321"/>
      <c r="K132" s="319" t="str">
        <f>K201</f>
        <v>Aguinaldo de bolsillo</v>
      </c>
      <c r="L132" s="320"/>
      <c r="M132" s="321"/>
      <c r="N132" s="319" t="str">
        <f>N201</f>
        <v>Aguinaldo de bolsillo</v>
      </c>
      <c r="O132" s="320"/>
      <c r="P132" s="321"/>
      <c r="Q132" s="121"/>
      <c r="R132" s="121"/>
      <c r="S132" s="121"/>
      <c r="T132" s="121"/>
      <c r="U132" s="121"/>
      <c r="V132" s="121"/>
    </row>
    <row r="133" spans="1:22" ht="16.5" thickBot="1">
      <c r="A133" s="121"/>
      <c r="B133" s="121"/>
      <c r="C133" s="121"/>
      <c r="D133" s="121"/>
      <c r="E133" s="322"/>
      <c r="F133" s="323">
        <f>F202</f>
        <v>342931.40943699772</v>
      </c>
      <c r="G133" s="286"/>
      <c r="H133" s="322"/>
      <c r="I133" s="323">
        <f>I202</f>
        <v>327301.58731683833</v>
      </c>
      <c r="J133" s="286"/>
      <c r="K133" s="322"/>
      <c r="L133" s="323">
        <f>L202</f>
        <v>311500.5</v>
      </c>
      <c r="M133" s="286"/>
      <c r="N133" s="322"/>
      <c r="O133" s="323">
        <f>O202</f>
        <v>311500.49999999988</v>
      </c>
      <c r="P133" s="286"/>
      <c r="Q133" s="121"/>
      <c r="R133" s="121"/>
      <c r="S133" s="121"/>
      <c r="T133" s="121"/>
      <c r="U133" s="121"/>
      <c r="V133" s="121"/>
    </row>
    <row r="134" spans="1:22" ht="16.5" thickTop="1">
      <c r="A134" s="121"/>
      <c r="B134" s="31"/>
      <c r="C134" s="31"/>
      <c r="D134" s="31"/>
      <c r="E134" s="31"/>
      <c r="F134" s="31"/>
      <c r="G134" s="286"/>
      <c r="H134" s="31"/>
      <c r="I134" s="31"/>
      <c r="J134" s="286"/>
      <c r="K134" s="31"/>
      <c r="L134" s="31"/>
      <c r="M134" s="286"/>
      <c r="N134" s="31"/>
      <c r="O134" s="31"/>
      <c r="P134" s="286"/>
      <c r="Q134" s="121"/>
      <c r="R134" s="121"/>
      <c r="S134" s="121"/>
      <c r="T134" s="121"/>
      <c r="U134" s="121"/>
      <c r="V134" s="121"/>
    </row>
    <row r="135" spans="1:22" ht="15.75" hidden="1">
      <c r="A135" s="121"/>
      <c r="B135" s="121"/>
      <c r="C135" s="121"/>
      <c r="D135" s="121"/>
      <c r="E135" s="121"/>
      <c r="F135" s="121"/>
      <c r="G135" s="324"/>
      <c r="H135" s="121"/>
      <c r="I135" s="121"/>
      <c r="J135" s="324"/>
      <c r="K135" s="121"/>
      <c r="L135" s="121"/>
      <c r="M135" s="324"/>
      <c r="N135" s="121"/>
      <c r="O135" s="121"/>
      <c r="P135" s="324"/>
      <c r="Q135" s="121"/>
      <c r="R135" s="121"/>
      <c r="S135" s="121"/>
      <c r="T135" s="121"/>
      <c r="U135" s="121"/>
      <c r="V135" s="121"/>
    </row>
    <row r="136" spans="1:22" ht="15.75" hidden="1">
      <c r="A136" s="121"/>
      <c r="B136" s="121"/>
      <c r="C136" s="121"/>
      <c r="D136" s="121"/>
      <c r="E136" s="121"/>
      <c r="F136" s="121"/>
      <c r="G136" s="324"/>
      <c r="H136" s="121"/>
      <c r="I136" s="121"/>
      <c r="J136" s="324"/>
      <c r="K136" s="121"/>
      <c r="L136" s="121"/>
      <c r="M136" s="324"/>
      <c r="N136" s="121"/>
      <c r="O136" s="121"/>
      <c r="P136" s="324"/>
      <c r="Q136" s="121"/>
      <c r="R136" s="121"/>
      <c r="S136" s="121"/>
      <c r="T136" s="121"/>
      <c r="U136" s="121"/>
      <c r="V136" s="121"/>
    </row>
    <row r="137" spans="1:22" ht="15.75" hidden="1">
      <c r="A137" s="121"/>
      <c r="B137" s="121"/>
      <c r="C137" s="121"/>
      <c r="D137" s="121"/>
      <c r="E137" s="121"/>
      <c r="F137" s="121"/>
      <c r="G137" s="324"/>
      <c r="H137" s="121"/>
      <c r="I137" s="121"/>
      <c r="J137" s="324"/>
      <c r="K137" s="121"/>
      <c r="L137" s="121"/>
      <c r="M137" s="324"/>
      <c r="N137" s="121"/>
      <c r="O137" s="121"/>
      <c r="P137" s="324"/>
      <c r="Q137" s="121"/>
      <c r="R137" s="121"/>
      <c r="S137" s="121"/>
      <c r="T137" s="121"/>
      <c r="U137" s="121"/>
      <c r="V137" s="121"/>
    </row>
    <row r="138" spans="1:22" ht="18" hidden="1">
      <c r="A138" s="121"/>
      <c r="B138" s="121"/>
      <c r="C138" s="121"/>
      <c r="D138" s="121"/>
      <c r="E138" s="121"/>
      <c r="F138" s="121"/>
      <c r="G138" s="324"/>
      <c r="H138" s="121"/>
      <c r="I138" s="121"/>
      <c r="J138" s="324"/>
      <c r="K138" s="121"/>
      <c r="L138" s="121"/>
      <c r="M138" s="324"/>
      <c r="N138" s="22">
        <v>45992</v>
      </c>
      <c r="O138" s="121"/>
      <c r="P138" s="324"/>
      <c r="Q138" s="121"/>
      <c r="R138" s="121"/>
      <c r="S138" s="121"/>
      <c r="T138" s="121"/>
      <c r="U138" s="121"/>
      <c r="V138" s="121"/>
    </row>
    <row r="139" spans="1:22" ht="21" hidden="1" thickBot="1">
      <c r="A139" s="121"/>
      <c r="B139" s="121"/>
      <c r="C139" s="325"/>
      <c r="D139" s="121"/>
      <c r="E139" s="812">
        <v>46204</v>
      </c>
      <c r="F139" s="813">
        <f>Aumentojulio26</f>
        <v>6.6049999999999942E-2</v>
      </c>
      <c r="G139" s="814"/>
      <c r="H139" s="812">
        <v>46143</v>
      </c>
      <c r="I139" s="813">
        <v>3.5000000000000003E-2</v>
      </c>
      <c r="J139" s="814"/>
      <c r="K139" s="812">
        <v>46054</v>
      </c>
      <c r="L139" s="813">
        <v>0</v>
      </c>
      <c r="M139" s="814"/>
      <c r="N139" s="812">
        <v>45992</v>
      </c>
      <c r="O139" s="23"/>
      <c r="P139" s="21"/>
      <c r="Q139" s="121"/>
      <c r="R139" s="121"/>
      <c r="S139" s="121"/>
      <c r="T139" s="121"/>
      <c r="U139" s="121"/>
      <c r="V139" s="121"/>
    </row>
    <row r="140" spans="1:22" ht="15.75" hidden="1" thickBot="1">
      <c r="A140" s="31"/>
      <c r="B140" s="326" t="s">
        <v>465</v>
      </c>
      <c r="C140" s="326" t="s">
        <v>466</v>
      </c>
      <c r="D140" s="326" t="s">
        <v>467</v>
      </c>
      <c r="E140" s="326"/>
      <c r="F140" s="326"/>
      <c r="G140" s="326"/>
      <c r="H140" s="326"/>
      <c r="I140" s="326"/>
      <c r="J140" s="326"/>
      <c r="K140" s="326"/>
      <c r="L140" s="326"/>
      <c r="M140" s="326"/>
      <c r="N140" s="326"/>
      <c r="O140" s="326"/>
      <c r="P140" s="326"/>
      <c r="Q140" s="31"/>
      <c r="R140" s="31"/>
      <c r="S140" s="31"/>
      <c r="T140" s="31"/>
      <c r="U140" s="31"/>
      <c r="V140" s="31"/>
    </row>
    <row r="141" spans="1:22" ht="15.75" hidden="1" thickBot="1">
      <c r="A141" s="31"/>
      <c r="B141" s="327">
        <v>1</v>
      </c>
      <c r="C141" s="328"/>
      <c r="D141" s="329" t="s">
        <v>470</v>
      </c>
      <c r="E141" s="330">
        <f>punbascar*indicejul26</f>
        <v>273304.32494399999</v>
      </c>
      <c r="F141" s="330"/>
      <c r="G141" s="331"/>
      <c r="H141" s="330">
        <f>punbascar*indicemay26</f>
        <v>265344.0048</v>
      </c>
      <c r="I141" s="330"/>
      <c r="J141" s="331"/>
      <c r="K141" s="330">
        <f>punbascar*indicedic25</f>
        <v>256370.96975318494</v>
      </c>
      <c r="L141" s="330"/>
      <c r="M141" s="331"/>
      <c r="N141" s="330">
        <f>punbascar*indicedic25</f>
        <v>256370.96975318494</v>
      </c>
      <c r="O141" s="330"/>
      <c r="P141" s="331"/>
      <c r="Q141" s="31"/>
      <c r="R141" s="31"/>
      <c r="S141" s="31"/>
      <c r="T141" s="31"/>
      <c r="U141" s="31"/>
      <c r="V141" s="31"/>
    </row>
    <row r="142" spans="1:22" ht="15.75" hidden="1" thickBot="1">
      <c r="A142" s="31"/>
      <c r="B142" s="332">
        <v>2</v>
      </c>
      <c r="C142" s="333"/>
      <c r="D142" s="334" t="s">
        <v>471</v>
      </c>
      <c r="E142" s="335">
        <f>compbas2016*indicejul26</f>
        <v>116724.30850079999</v>
      </c>
      <c r="F142" s="330"/>
      <c r="G142" s="336"/>
      <c r="H142" s="335">
        <f>compbas2016*indicemay26</f>
        <v>113324.57136</v>
      </c>
      <c r="I142" s="330"/>
      <c r="J142" s="336"/>
      <c r="K142" s="335">
        <f>compbas2016*indicedic25</f>
        <v>109492.31838995447</v>
      </c>
      <c r="L142" s="330"/>
      <c r="M142" s="336"/>
      <c r="N142" s="335">
        <f>compbas2016*indicedic25</f>
        <v>109492.31838995447</v>
      </c>
      <c r="O142" s="330"/>
      <c r="P142" s="336"/>
      <c r="Q142" s="337"/>
      <c r="R142" s="31"/>
      <c r="S142" s="31"/>
      <c r="T142" s="31"/>
      <c r="U142" s="31"/>
      <c r="V142" s="31"/>
    </row>
    <row r="143" spans="1:22" ht="15.75" hidden="1" thickBot="1">
      <c r="A143" s="31"/>
      <c r="B143" s="332" t="s">
        <v>503</v>
      </c>
      <c r="C143" s="333"/>
      <c r="D143" s="338" t="s">
        <v>464</v>
      </c>
      <c r="E143" s="339">
        <f>puntosexten*indicejul26</f>
        <v>0</v>
      </c>
      <c r="F143" s="330"/>
      <c r="G143" s="340"/>
      <c r="H143" s="339">
        <f>puntosexten*indicemay26</f>
        <v>0</v>
      </c>
      <c r="I143" s="330"/>
      <c r="J143" s="340"/>
      <c r="K143" s="339">
        <f>puntosexten*indicedic25</f>
        <v>0</v>
      </c>
      <c r="L143" s="330"/>
      <c r="M143" s="340"/>
      <c r="N143" s="339">
        <f>puntosexten*indicedic25</f>
        <v>0</v>
      </c>
      <c r="O143" s="330"/>
      <c r="P143" s="340"/>
      <c r="Q143" s="337"/>
      <c r="R143" s="31"/>
      <c r="S143" s="31"/>
      <c r="T143" s="31"/>
      <c r="U143" s="31"/>
      <c r="V143" s="31"/>
    </row>
    <row r="144" spans="1:22" ht="15.75" hidden="1" thickBot="1">
      <c r="A144" s="31"/>
      <c r="B144" s="341" t="s">
        <v>473</v>
      </c>
      <c r="C144" s="342"/>
      <c r="D144" s="343" t="s">
        <v>474</v>
      </c>
      <c r="E144" s="344">
        <f>IF(nina=0,compdir22*indicejul26,compdir16*indicejul26)</f>
        <v>0</v>
      </c>
      <c r="F144" s="330"/>
      <c r="G144" s="331"/>
      <c r="H144" s="344">
        <f>IF(nina=0,compdir22*indicemay26,compdir16*indicemay26)</f>
        <v>0</v>
      </c>
      <c r="I144" s="330"/>
      <c r="J144" s="331"/>
      <c r="K144" s="344">
        <f>IF(nina=0,compdir22*indicedic25,compdir16*indicedic25)</f>
        <v>0</v>
      </c>
      <c r="L144" s="330"/>
      <c r="M144" s="331"/>
      <c r="N144" s="344">
        <f>IF(nina=0,compdir22*indicedic25,compdir16*indicedic25)</f>
        <v>0</v>
      </c>
      <c r="O144" s="330"/>
      <c r="P144" s="331"/>
      <c r="Q144" s="337"/>
      <c r="R144" s="31"/>
      <c r="S144" s="31"/>
      <c r="T144" s="31"/>
      <c r="U144" s="31"/>
      <c r="V144" s="31"/>
    </row>
    <row r="145" spans="1:22" ht="15.75" hidden="1" thickBot="1">
      <c r="A145" s="31"/>
      <c r="B145" s="332">
        <v>5</v>
      </c>
      <c r="C145" s="333"/>
      <c r="D145" s="334" t="s">
        <v>475</v>
      </c>
      <c r="E145" s="335">
        <f>puntosadicnina*Indiceproljorjul26</f>
        <v>0</v>
      </c>
      <c r="F145" s="330"/>
      <c r="G145" s="331"/>
      <c r="H145" s="335">
        <f>puntosadicnina*Indiceproljormay26</f>
        <v>0</v>
      </c>
      <c r="I145" s="330"/>
      <c r="J145" s="331"/>
      <c r="K145" s="335">
        <f>puntosadicnina*Indiceproljordic25</f>
        <v>0</v>
      </c>
      <c r="L145" s="330"/>
      <c r="M145" s="331"/>
      <c r="N145" s="335">
        <f>puntosadicnina*Indiceproljordic25</f>
        <v>0</v>
      </c>
      <c r="O145" s="330"/>
      <c r="P145" s="331"/>
      <c r="Q145" s="337"/>
      <c r="R145" s="31"/>
      <c r="S145" s="31"/>
      <c r="T145" s="31"/>
      <c r="U145" s="31"/>
      <c r="V145" s="31"/>
    </row>
    <row r="146" spans="1:22" ht="15.75" hidden="1" thickBot="1">
      <c r="A146" s="31"/>
      <c r="B146" s="345">
        <v>6</v>
      </c>
      <c r="C146" s="346"/>
      <c r="D146" s="346" t="s">
        <v>476</v>
      </c>
      <c r="E146" s="347">
        <f>LOOKUP(porantigcargo,porant,codigo06cargosdic25)*(1+Aumentojulio26)</f>
        <v>220747.41222105752</v>
      </c>
      <c r="F146" s="330"/>
      <c r="G146" s="348"/>
      <c r="H146" s="347">
        <f>LOOKUP(porantigcargo,porant,codigo06cargosdic25)*(1+Aumentomayo26)</f>
        <v>214317.87594277429</v>
      </c>
      <c r="I146" s="330"/>
      <c r="J146" s="348"/>
      <c r="K146" s="347">
        <f>LOOKUP(porantigcargo,porant,codigo06cargosdic25)</f>
        <v>207070.41153891236</v>
      </c>
      <c r="L146" s="330"/>
      <c r="M146" s="348"/>
      <c r="N146" s="347">
        <f>LOOKUP(porantigcargo,porant,codigo06cargosdic25)</f>
        <v>207070.41153891236</v>
      </c>
      <c r="O146" s="330"/>
      <c r="P146" s="348"/>
      <c r="Q146" s="31"/>
      <c r="R146" s="31"/>
      <c r="S146" s="31"/>
      <c r="T146" s="31"/>
      <c r="U146" s="31"/>
      <c r="V146" s="31"/>
    </row>
    <row r="147" spans="1:22" ht="15.75" hidden="1" thickBot="1">
      <c r="A147" s="31"/>
      <c r="B147" s="332">
        <v>10</v>
      </c>
      <c r="C147" s="349">
        <f>D64</f>
        <v>0</v>
      </c>
      <c r="D147" s="333" t="s">
        <v>477</v>
      </c>
      <c r="E147" s="335">
        <f>(E141+E142+E143+E144+E145+E150+E151+E155)*porantigcargo</f>
        <v>0</v>
      </c>
      <c r="F147" s="330"/>
      <c r="G147" s="348"/>
      <c r="H147" s="335">
        <f>(H141+H142+H143+H144+H145+H150+H151+H155)*porantigcargo</f>
        <v>0</v>
      </c>
      <c r="I147" s="330"/>
      <c r="J147" s="348"/>
      <c r="K147" s="335">
        <f>(K141+K142+K143+K144+K145+K150+K151+K155)*porantigcargo</f>
        <v>0</v>
      </c>
      <c r="L147" s="330"/>
      <c r="M147" s="348"/>
      <c r="N147" s="335">
        <f>(N141+N142+N143+N144+N145+N150+N151+N155)*porantigcargo</f>
        <v>0</v>
      </c>
      <c r="O147" s="330"/>
      <c r="P147" s="348"/>
      <c r="Q147" s="31"/>
      <c r="R147" s="31"/>
      <c r="S147" s="31"/>
      <c r="T147" s="31"/>
      <c r="U147" s="31"/>
      <c r="V147" s="31"/>
    </row>
    <row r="148" spans="1:22" ht="15.75" hidden="1" thickBot="1">
      <c r="A148" s="31"/>
      <c r="B148" s="327">
        <v>14</v>
      </c>
      <c r="C148" s="328"/>
      <c r="D148" s="328" t="s">
        <v>478</v>
      </c>
      <c r="E148" s="330">
        <f>E146*0.07</f>
        <v>15452.318855474028</v>
      </c>
      <c r="F148" s="330"/>
      <c r="G148" s="350">
        <f>IF(puntosproljor&gt;600,G157,G153)</f>
        <v>165806.40750261827</v>
      </c>
      <c r="H148" s="330">
        <f>H146*0.07</f>
        <v>15002.251315994203</v>
      </c>
      <c r="I148" s="330"/>
      <c r="J148" s="350">
        <f>IF(puntosproljor&gt;600,J157,J153)</f>
        <v>157226.64368802353</v>
      </c>
      <c r="K148" s="330">
        <f>K146*0.07</f>
        <v>14494.928807723867</v>
      </c>
      <c r="L148" s="330"/>
      <c r="M148" s="350">
        <f>IF(puntosproljor&gt;600,M157,M153)</f>
        <v>151909.87113031338</v>
      </c>
      <c r="N148" s="330">
        <f>N146*0.07</f>
        <v>14494.928807723867</v>
      </c>
      <c r="O148" s="330"/>
      <c r="P148" s="350">
        <f>IF(puntosproljor&gt;600,P157,P153)</f>
        <v>151909.87113031338</v>
      </c>
      <c r="Q148" s="337"/>
      <c r="R148" s="31"/>
      <c r="S148" s="31"/>
      <c r="T148" s="31"/>
      <c r="U148" s="31"/>
      <c r="V148" s="31"/>
    </row>
    <row r="149" spans="1:22" ht="15.75" hidden="1" thickBot="1">
      <c r="A149" s="31"/>
      <c r="B149" s="332">
        <v>188</v>
      </c>
      <c r="C149" s="349">
        <v>7.0000000000000007E-2</v>
      </c>
      <c r="D149" s="333" t="s">
        <v>479</v>
      </c>
      <c r="E149" s="351">
        <f>(E141+E142+E143+E144+E145+E147+E150+E151+E152+E153+E154+E155)*0.07</f>
        <v>40522.036806819277</v>
      </c>
      <c r="F149" s="330"/>
      <c r="G149" s="348"/>
      <c r="H149" s="351">
        <f>(H141+H142+H143+H144+H145+H147+H150+H151+H152+H153+H154+H155)*0.07</f>
        <v>39079.251739361651</v>
      </c>
      <c r="I149" s="330"/>
      <c r="J149" s="348"/>
      <c r="K149" s="351">
        <f>(K141+K142+K143+K144+K145+K147+K150+K151+K152+K153+K154+K155)*0.07</f>
        <v>37757.731149141699</v>
      </c>
      <c r="L149" s="330"/>
      <c r="M149" s="348"/>
      <c r="N149" s="351">
        <f>(N141+N142+N143+N144+N145+N147+N150+N151+N152+N153+N154+N155)*0.07</f>
        <v>37757.731149141699</v>
      </c>
      <c r="O149" s="330"/>
      <c r="P149" s="348"/>
      <c r="Q149" s="337"/>
      <c r="R149" s="31"/>
      <c r="S149" s="31"/>
      <c r="T149" s="31"/>
      <c r="U149" s="31"/>
      <c r="V149" s="31"/>
    </row>
    <row r="150" spans="1:22" ht="16.5" hidden="1" thickBot="1">
      <c r="A150" s="31"/>
      <c r="B150" s="327">
        <v>52</v>
      </c>
      <c r="C150" s="328"/>
      <c r="D150" s="328" t="s">
        <v>480</v>
      </c>
      <c r="E150" s="330">
        <f>puntosproljor*Indiceproljorjul26</f>
        <v>0</v>
      </c>
      <c r="F150" s="352"/>
      <c r="G150" s="353">
        <f>J150*1.035</f>
        <v>576441.24111668998</v>
      </c>
      <c r="H150" s="330">
        <f>puntosproljor*Indiceproljormay26</f>
        <v>0</v>
      </c>
      <c r="I150" s="352"/>
      <c r="J150" s="353">
        <f>M150*1.035</f>
        <v>556948.05904994207</v>
      </c>
      <c r="K150" s="330">
        <f>puntosproljor*Indiceproljordic25</f>
        <v>0</v>
      </c>
      <c r="L150" s="352"/>
      <c r="M150" s="353">
        <v>538114.06671491987</v>
      </c>
      <c r="N150" s="330">
        <f>puntosproljor*Indiceproljordic25</f>
        <v>0</v>
      </c>
      <c r="O150" s="352"/>
      <c r="P150" s="353">
        <v>538114.06671491987</v>
      </c>
      <c r="Q150" s="354"/>
      <c r="R150" s="31"/>
      <c r="S150" s="31"/>
      <c r="T150" s="31"/>
      <c r="U150" s="31"/>
      <c r="V150" s="31"/>
    </row>
    <row r="151" spans="1:22" ht="18" hidden="1" thickBot="1">
      <c r="A151" s="31"/>
      <c r="B151" s="332">
        <v>16</v>
      </c>
      <c r="C151" s="333"/>
      <c r="D151" s="333" t="s">
        <v>481</v>
      </c>
      <c r="E151" s="335">
        <f>puntostardif*indicejul26</f>
        <v>0</v>
      </c>
      <c r="F151" s="330"/>
      <c r="G151" s="355">
        <f>IF((totalremjul26-E152*1.07-E143*(1+porantigcargo+porzonacargo)*1.07)*0.78&lt;G150,(G150-(totalremjul26-E152*1.07-E143*(1+porantigcargo+porzonacargo)*1.07)*0.78)/0.78,0)/1.07</f>
        <v>56852.411446651444</v>
      </c>
      <c r="H151" s="335">
        <f>puntostardif*indicemay26</f>
        <v>0</v>
      </c>
      <c r="I151" s="330"/>
      <c r="J151" s="355">
        <f>IF((totalremmay26-H152*1.07-H143*(1+porantigcargo+porzonacargo)*1.07)*0.78&lt;J150,(J150-(totalremmay26-H152*1.07-H143*(1+porantigcargo+porzonacargo)*1.07)*0.78)/0.78,0)/1.07</f>
        <v>51957.082281292351</v>
      </c>
      <c r="K151" s="335">
        <f>puntostardif*indicedic25</f>
        <v>0</v>
      </c>
      <c r="L151" s="330"/>
      <c r="M151" s="355">
        <f>IF((totalremdic25-K152*1.07-K143*(1+porantigcargo+porzonacargo)*1.07)*0.78&lt;M150,(M150-(totalremdic25-K152*1.07-K143*(1+porantigcargo+porzonacargo)*1.07)*0.78)/0.78,0)/1.07</f>
        <v>50200.149964389449</v>
      </c>
      <c r="N151" s="335">
        <f>puntostardif*indicedic25</f>
        <v>0</v>
      </c>
      <c r="O151" s="330"/>
      <c r="P151" s="355">
        <f>IF((totalremdic25-N152*1.07-N143*(1+porantigcargo+porzonacargo)*1.07)*0.78&lt;P150,(P150-(totalremdic25-N152*1.07-N143*(1+porantigcargo+porzonacargo)*1.07)*0.78)/0.78,0)/1.07</f>
        <v>50200.149964389449</v>
      </c>
      <c r="Q151" s="337"/>
      <c r="R151" s="31"/>
      <c r="S151" s="31"/>
      <c r="T151" s="31"/>
      <c r="U151" s="31"/>
      <c r="V151" s="31"/>
    </row>
    <row r="152" spans="1:22" ht="16.5" hidden="1" thickBot="1">
      <c r="A152" s="31"/>
      <c r="B152" s="327">
        <v>78</v>
      </c>
      <c r="C152" s="356">
        <f>C83</f>
        <v>0</v>
      </c>
      <c r="D152" s="328" t="s">
        <v>482</v>
      </c>
      <c r="E152" s="357">
        <f>(E141+E142+E143+E144+E145+E150+E151+E155)*porzonacargo</f>
        <v>0</v>
      </c>
      <c r="F152" s="352"/>
      <c r="G152" s="353">
        <f>J152*1.035</f>
        <v>667374.24622499989</v>
      </c>
      <c r="H152" s="357">
        <f>(H141+H142+H143+H144+H145+H150+H151+H155)*porzonacargo</f>
        <v>0</v>
      </c>
      <c r="I152" s="352"/>
      <c r="J152" s="353">
        <f>M152*1.035</f>
        <v>644806.03499999992</v>
      </c>
      <c r="K152" s="357">
        <f>(K141+K142+K143+K144+K145+K150+K151+K155)*porzonacargo</f>
        <v>0</v>
      </c>
      <c r="L152" s="352"/>
      <c r="M152" s="353">
        <v>623001</v>
      </c>
      <c r="N152" s="357">
        <f>(N141+N142+N143+N144+N145+N150+N151+N155)*porzonacargo</f>
        <v>0</v>
      </c>
      <c r="O152" s="352"/>
      <c r="P152" s="353">
        <v>623001</v>
      </c>
      <c r="Q152" s="354"/>
      <c r="R152" s="31"/>
      <c r="S152" s="31"/>
      <c r="T152" s="31"/>
      <c r="U152" s="31"/>
      <c r="V152" s="31"/>
    </row>
    <row r="153" spans="1:22" ht="18" hidden="1" thickBot="1">
      <c r="A153" s="31"/>
      <c r="B153" s="332">
        <v>185</v>
      </c>
      <c r="C153" s="333"/>
      <c r="D153" s="358" t="s">
        <v>483</v>
      </c>
      <c r="E153" s="359">
        <f>IF(punbascar&lt;913,G151,G148)</f>
        <v>165806.40750261827</v>
      </c>
      <c r="F153" s="815">
        <f>E153/H153-1</f>
        <v>5.4569401300832432E-2</v>
      </c>
      <c r="G153" s="360">
        <f>IF((totalremjul26-E152*1.07-E143*(1+porantigcargo+porzonacargo)*1.07)*0.78&lt;G152,(G152-(totalremjul26-E152*1.07-E143*(1+porantigcargo+porzonacargo)*1.07)*0.78)/0.78,0)/1.07</f>
        <v>165806.40750261827</v>
      </c>
      <c r="H153" s="359">
        <f>IF(punbascar&lt;913,J151,J148)</f>
        <v>157226.64368802353</v>
      </c>
      <c r="I153" s="815">
        <f>H153/K153-1</f>
        <v>3.499951990051553E-2</v>
      </c>
      <c r="J153" s="360">
        <f>IF((totalremmay26-H152*1.07-H143*(1+porantigcargo+porzonacargo)*1.07)*0.78&lt;J152,(J152-(totalremmay26-H152*1.07-H143*(1+porantigcargo+porzonacargo)*1.07)*0.78)/0.78,0)/1.07</f>
        <v>157226.64368802353</v>
      </c>
      <c r="K153" s="359">
        <f>IF(punbascar&lt;913,M151,M148)</f>
        <v>151909.87113031338</v>
      </c>
      <c r="L153" s="330"/>
      <c r="M153" s="360">
        <f>IF((totalremdic25-K152*1.07-K143*(1+porantigcargo+porzonacargo)*1.07)*0.78&lt;M152,(M152-(totalremdic25-K152*1.07-K143*(1+porantigcargo+porzonacargo)*1.07)*0.78)/0.78,0)/1.07</f>
        <v>151909.87113031338</v>
      </c>
      <c r="N153" s="359">
        <f>IF(punbascar&lt;913,P151,P148)</f>
        <v>151909.87113031338</v>
      </c>
      <c r="O153" s="330"/>
      <c r="P153" s="360">
        <f>IF((totalremdic25-N152*1.07-N143*(1+porantigcargo+porzonacargo)*1.07)*0.78&lt;P152,(P152-(totalremdic25-N152*1.07-N143*(1+porantigcargo+porzonacargo)*1.07)*0.78)/0.78,0)/1.07</f>
        <v>151909.87113031338</v>
      </c>
      <c r="Q153" s="337"/>
      <c r="R153" s="31"/>
      <c r="S153" s="31"/>
      <c r="T153" s="31"/>
      <c r="U153" s="31"/>
      <c r="V153" s="31"/>
    </row>
    <row r="154" spans="1:22" ht="16.5" hidden="1" thickBot="1">
      <c r="A154" s="31"/>
      <c r="B154" s="327">
        <v>117</v>
      </c>
      <c r="C154" s="270">
        <f>C85</f>
        <v>1</v>
      </c>
      <c r="D154" s="328" t="s">
        <v>484</v>
      </c>
      <c r="E154" s="344">
        <f>IF(AND(puntosproljor&lt;620,punbascar&lt;2200),21623,43246)*$C154*(1+Aumentojulio26)</f>
        <v>23051.19915</v>
      </c>
      <c r="F154" s="330"/>
      <c r="G154" s="348"/>
      <c r="H154" s="344">
        <f>IF(AND(puntosproljor&lt;620,punbascar&lt;2200),21623,43246)*$C154*(1+Aumentomayo26)</f>
        <v>22379.804999999997</v>
      </c>
      <c r="I154" s="330"/>
      <c r="J154" s="348"/>
      <c r="K154" s="344">
        <f>IF(AND(puntosproljor&lt;620,punbascar&lt;2200),21623,43246)*$C154</f>
        <v>21623</v>
      </c>
      <c r="L154" s="330"/>
      <c r="M154" s="348"/>
      <c r="N154" s="344">
        <f>IF(AND(puntosproljor&lt;620,punbascar&lt;2200),21623,43246)*$C154</f>
        <v>21623</v>
      </c>
      <c r="O154" s="330"/>
      <c r="P154" s="348"/>
      <c r="Q154" s="361"/>
      <c r="R154" s="337"/>
      <c r="S154" s="31"/>
      <c r="T154" s="31"/>
      <c r="U154" s="31"/>
      <c r="V154" s="31"/>
    </row>
    <row r="155" spans="1:22" ht="15.75" hidden="1" thickBot="1">
      <c r="A155" s="31"/>
      <c r="B155" s="362">
        <v>25</v>
      </c>
      <c r="C155" s="256">
        <f>C86</f>
        <v>1</v>
      </c>
      <c r="D155" s="363" t="s">
        <v>485</v>
      </c>
      <c r="E155" s="364">
        <f>IF(AND(porantigcargo&gt;=0.5,$C155=1),25000,0)</f>
        <v>0</v>
      </c>
      <c r="F155" s="365"/>
      <c r="G155" s="348"/>
      <c r="H155" s="364">
        <f>IF(AND(porantigcargo&gt;=0.5,$C155=1),25000,0)</f>
        <v>0</v>
      </c>
      <c r="I155" s="365"/>
      <c r="J155" s="348"/>
      <c r="K155" s="364">
        <f>IF(AND(porantigcargo&gt;=0.5,$C155=1),25000,0)</f>
        <v>0</v>
      </c>
      <c r="L155" s="365"/>
      <c r="M155" s="348"/>
      <c r="N155" s="364">
        <f>IF(AND(porantigcargo&gt;=0.5,$C155=1),25000,0)</f>
        <v>0</v>
      </c>
      <c r="O155" s="365"/>
      <c r="P155" s="348"/>
      <c r="Q155" s="361"/>
      <c r="R155" s="337"/>
      <c r="S155" s="31"/>
      <c r="T155" s="31"/>
      <c r="U155" s="31"/>
      <c r="V155" s="31"/>
    </row>
    <row r="156" spans="1:22" ht="16.5" hidden="1" thickBot="1">
      <c r="A156" s="31"/>
      <c r="B156" s="327">
        <v>29</v>
      </c>
      <c r="C156" s="366">
        <f>cantkm</f>
        <v>0</v>
      </c>
      <c r="D156" s="328" t="s">
        <v>486</v>
      </c>
      <c r="E156" s="344">
        <f>kmsem*2128/15*4</f>
        <v>0</v>
      </c>
      <c r="F156" s="352"/>
      <c r="G156" s="353">
        <f>J156*1.035</f>
        <v>861742.66634999996</v>
      </c>
      <c r="H156" s="344">
        <f>kmsem*2128/15*4</f>
        <v>0</v>
      </c>
      <c r="I156" s="352"/>
      <c r="J156" s="353">
        <f>M156*1.035</f>
        <v>832601.61</v>
      </c>
      <c r="K156" s="344">
        <f>kmsem*1820/15*4</f>
        <v>0</v>
      </c>
      <c r="L156" s="352"/>
      <c r="M156" s="353">
        <v>804446</v>
      </c>
      <c r="N156" s="344">
        <f>kmsem*1820/15*4</f>
        <v>0</v>
      </c>
      <c r="O156" s="352"/>
      <c r="P156" s="353">
        <v>804446</v>
      </c>
      <c r="Q156" s="367"/>
      <c r="R156" s="354"/>
      <c r="S156" s="31"/>
      <c r="T156" s="31"/>
      <c r="U156" s="31"/>
      <c r="V156" s="31"/>
    </row>
    <row r="157" spans="1:22" ht="18" hidden="1" thickBot="1">
      <c r="A157" s="31"/>
      <c r="B157" s="368" t="s">
        <v>487</v>
      </c>
      <c r="C157" s="333" t="s">
        <v>488</v>
      </c>
      <c r="D157" s="333"/>
      <c r="E157" s="369">
        <f>E88</f>
        <v>0</v>
      </c>
      <c r="F157" s="330"/>
      <c r="G157" s="355">
        <f>IF((totalremjul26-E152*1.07-E143*(1+porantigcargo+porzonacargo)*1.07)*0.78&lt;G156,(G156-(totalremjul26-E152*1.07-E143*(1+porantigcargo+porzonacargo)*1.07)*0.78)/0.78,0)/1.07</f>
        <v>398694.52171900944</v>
      </c>
      <c r="H157" s="369">
        <f>H88</f>
        <v>0</v>
      </c>
      <c r="I157" s="330"/>
      <c r="J157" s="355">
        <f>IF((totalremmay26-H152*1.07-H143*(1+porantigcargo+porzonacargo)*1.07)*0.78&lt;J156,(J156-(totalremmay26-H152*1.07-H143*(1+porantigcargo+porzonacargo)*1.07)*0.78)/0.78,0)/1.07</f>
        <v>382239.3144284981</v>
      </c>
      <c r="K157" s="369">
        <f>K88</f>
        <v>0</v>
      </c>
      <c r="L157" s="330"/>
      <c r="M157" s="355">
        <f>IF((totalremdic25-K152*1.07-K143*(1+porantigcargo+porzonacargo)*1.07)*0.78&lt;M156,(M156-(totalremdic25-K152*1.07-K143*(1+porantigcargo+porzonacargo)*1.07)*0.78)/0.78,0)/1.07</f>
        <v>369313.41773946746</v>
      </c>
      <c r="N157" s="369">
        <f>N88</f>
        <v>0</v>
      </c>
      <c r="O157" s="330"/>
      <c r="P157" s="355">
        <f>IF((totalremdic25-N152*1.07-N143*(1+porantigcargo+porzonacargo)*1.07)*0.78&lt;P156,(P156-(totalremdic25-N152*1.07-N143*(1+porantigcargo+porzonacargo)*1.07)*0.78)/0.78,0)/1.07</f>
        <v>369313.41773946746</v>
      </c>
      <c r="Q157" s="361"/>
      <c r="R157" s="337"/>
      <c r="S157" s="31"/>
      <c r="T157" s="31"/>
      <c r="U157" s="31"/>
      <c r="V157" s="31"/>
    </row>
    <row r="158" spans="1:22" ht="15.75" hidden="1" thickBot="1">
      <c r="A158" s="31"/>
      <c r="B158" s="368"/>
      <c r="C158" s="333"/>
      <c r="D158" s="370" t="s">
        <v>489</v>
      </c>
      <c r="E158" s="371">
        <f>SUM(E141:E155,E156,E157)</f>
        <v>855608.00798076903</v>
      </c>
      <c r="F158" s="822"/>
      <c r="G158" s="372"/>
      <c r="H158" s="371">
        <f>SUM(H141:H155,H156,H157)</f>
        <v>826674.40384615376</v>
      </c>
      <c r="I158" s="37"/>
      <c r="J158" s="372"/>
      <c r="K158" s="371">
        <f>SUM(K141:K155,K156,K157)</f>
        <v>798719.23076923075</v>
      </c>
      <c r="L158" s="37"/>
      <c r="M158" s="372"/>
      <c r="N158" s="371">
        <f>SUM(N141:N155,N156,N157)</f>
        <v>798719.23076923075</v>
      </c>
      <c r="O158" s="37"/>
      <c r="P158" s="372"/>
      <c r="Q158" s="361"/>
      <c r="R158" s="31"/>
      <c r="S158" s="31"/>
      <c r="T158" s="31"/>
      <c r="U158" s="31"/>
      <c r="V158" s="31"/>
    </row>
    <row r="159" spans="1:22" ht="16.5" hidden="1" thickBot="1">
      <c r="A159" s="31"/>
      <c r="B159" s="327">
        <v>184</v>
      </c>
      <c r="C159" s="270">
        <f>C90</f>
        <v>1</v>
      </c>
      <c r="D159" s="328" t="s">
        <v>490</v>
      </c>
      <c r="E159" s="344">
        <f>IF(AND(puntosproljor&lt;620,punbascar&lt;1943),51070,102139)*$C159</f>
        <v>51070</v>
      </c>
      <c r="F159" s="330"/>
      <c r="G159" s="348"/>
      <c r="H159" s="344">
        <f>IF(AND(puntosproljor&lt;620,punbascar&lt;1943),36752.4,73504.8)*$C159</f>
        <v>36752.400000000001</v>
      </c>
      <c r="I159" s="330"/>
      <c r="J159" s="348"/>
      <c r="K159" s="344">
        <f>IF(AND(puntosproljor&lt;620,punbascar&lt;1943),36752.4,73504.8)*$C159</f>
        <v>36752.400000000001</v>
      </c>
      <c r="L159" s="330"/>
      <c r="M159" s="348"/>
      <c r="N159" s="344">
        <f>IF(AND(puntosproljor&lt;620,punbascar&lt;1943),36752.4,73504.8)*$C159</f>
        <v>36752.400000000001</v>
      </c>
      <c r="O159" s="330"/>
      <c r="P159" s="348"/>
      <c r="Q159" s="361"/>
      <c r="R159" s="31"/>
      <c r="S159" s="31"/>
      <c r="T159" s="31"/>
      <c r="U159" s="31"/>
      <c r="V159" s="31"/>
    </row>
    <row r="160" spans="1:22" ht="16.5" hidden="1" thickBot="1">
      <c r="A160" s="31"/>
      <c r="B160" s="327">
        <v>204</v>
      </c>
      <c r="C160" s="270">
        <f>C91</f>
        <v>1</v>
      </c>
      <c r="D160" s="328" t="s">
        <v>491</v>
      </c>
      <c r="E160" s="344">
        <f>IF(AND(puntosproljor&lt;620,punbascar&lt;1943),38148,76297)*$C160</f>
        <v>38148</v>
      </c>
      <c r="F160" s="373"/>
      <c r="G160" s="348">
        <f>E158+E159+E160+F171</f>
        <v>756592.24622499989</v>
      </c>
      <c r="H160" s="344">
        <f>IF(AND(puntosproljor&lt;620,punbascar&lt;1943),27453.67,54907.34)*$C160</f>
        <v>27453.67</v>
      </c>
      <c r="I160" s="373"/>
      <c r="J160" s="348">
        <f>H158+H159+H160+H161+H162+I171</f>
        <v>769012.10499999998</v>
      </c>
      <c r="K160" s="344">
        <f>IF(AND(puntosproljor&lt;620,punbascar&lt;1943),27453.6,54907.2)*$C160</f>
        <v>27453.599999999999</v>
      </c>
      <c r="L160" s="373"/>
      <c r="M160" s="348">
        <f>K158+K159+K160+L171</f>
        <v>687207</v>
      </c>
      <c r="N160" s="344">
        <f>IF(AND(puntosproljor&lt;620,punbascar&lt;1943),27453.6,54907.2)*$C160</f>
        <v>27453.599999999999</v>
      </c>
      <c r="O160" s="373"/>
      <c r="P160" s="348"/>
      <c r="Q160" s="361"/>
      <c r="R160" s="31"/>
      <c r="S160" s="31"/>
      <c r="T160" s="31"/>
      <c r="U160" s="31"/>
      <c r="V160" s="31"/>
    </row>
    <row r="161" spans="1:22" ht="16.5" hidden="1" thickBot="1">
      <c r="A161" s="31"/>
      <c r="B161" s="327">
        <v>234</v>
      </c>
      <c r="C161" s="270">
        <f>C92</f>
        <v>1</v>
      </c>
      <c r="D161" s="328" t="s">
        <v>551</v>
      </c>
      <c r="E161" s="344">
        <f>36000*$C161</f>
        <v>36000</v>
      </c>
      <c r="F161" s="373"/>
      <c r="G161" s="348"/>
      <c r="H161" s="344">
        <f>36000*$C161</f>
        <v>36000</v>
      </c>
      <c r="I161" s="373"/>
      <c r="J161" s="348"/>
      <c r="K161" s="344"/>
      <c r="L161" s="373"/>
      <c r="M161" s="348"/>
      <c r="N161" s="344"/>
      <c r="O161" s="373"/>
      <c r="P161" s="348"/>
      <c r="Q161" s="361"/>
      <c r="R161" s="31"/>
      <c r="S161" s="31"/>
      <c r="T161" s="31"/>
      <c r="U161" s="31"/>
      <c r="V161" s="31"/>
    </row>
    <row r="162" spans="1:22" ht="16.5" hidden="1" thickBot="1">
      <c r="A162" s="31"/>
      <c r="B162" s="327">
        <v>244</v>
      </c>
      <c r="C162" s="270">
        <f>C93</f>
        <v>1</v>
      </c>
      <c r="D162" s="328" t="s">
        <v>552</v>
      </c>
      <c r="E162" s="344">
        <f>24000*$C162</f>
        <v>24000</v>
      </c>
      <c r="F162" s="373"/>
      <c r="G162" s="348"/>
      <c r="H162" s="344">
        <f>24000*$C162</f>
        <v>24000</v>
      </c>
      <c r="I162" s="373"/>
      <c r="J162" s="348"/>
      <c r="K162" s="344"/>
      <c r="L162" s="373"/>
      <c r="M162" s="348"/>
      <c r="N162" s="344"/>
      <c r="O162" s="373"/>
      <c r="P162" s="348"/>
      <c r="Q162" s="361"/>
      <c r="R162" s="31"/>
      <c r="S162" s="31"/>
      <c r="T162" s="31"/>
      <c r="U162" s="31"/>
      <c r="V162" s="31"/>
    </row>
    <row r="163" spans="1:22" ht="16.5" hidden="1" thickBot="1">
      <c r="A163" s="31"/>
      <c r="B163" s="842">
        <v>284</v>
      </c>
      <c r="C163" s="270">
        <f>C94</f>
        <v>1</v>
      </c>
      <c r="D163" s="831" t="s">
        <v>553</v>
      </c>
      <c r="E163" s="272">
        <f>IF(puntosproljor&lt;600,IF(G163&lt;0,0,G163),IF(1129327-(E158+E159+E160+E161+E162+F171)&lt;0,0,1129327-(E158+E159+E160+E161+E162+F171)))*$C163</f>
        <v>33407.753775000107</v>
      </c>
      <c r="F163" s="330"/>
      <c r="G163" s="375">
        <f>IF(punbascar&lt;913,753361-(E158+E159+E160+E161+E162+F171),850000-(E158+E159+E160+E161+E162+F171))</f>
        <v>33407.753775000107</v>
      </c>
      <c r="H163" s="272">
        <f>IF(puntosproljor&lt;600,IF(J163&lt;0,0,J163),IF(1031341-(H158+H159+H160+H161+H162+I171)&lt;0,0,1031341-(H158+H159+H160+H161+H162+I171)))*$C163</f>
        <v>7237.8950000000186</v>
      </c>
      <c r="I163" s="330"/>
      <c r="J163" s="375">
        <f>IF(punbascar&lt;913,687996-(H158+H159+H160+H161+H162+I171),776250-(H158+H159+H160+H161+H162+I171))</f>
        <v>7237.8950000000186</v>
      </c>
      <c r="K163" s="272">
        <f>IF(puntosproljor&lt;600,IF(M163&lt;60000,60000,M163),IF(996465-(K158+K159+K160+L171)&lt;60000,60000,996465-(K158+K159+K160+L171)))*$C163</f>
        <v>62793</v>
      </c>
      <c r="L163" s="330"/>
      <c r="M163" s="375">
        <f>IF(punbascar&lt;913,664730-(K158+K159+K160+L171),750000-(K158+K159+K160+L171))</f>
        <v>62793</v>
      </c>
      <c r="N163" s="272"/>
      <c r="O163" s="330"/>
      <c r="P163" s="375"/>
      <c r="Q163" s="361"/>
      <c r="R163" s="31"/>
      <c r="S163" s="31"/>
      <c r="T163" s="31"/>
      <c r="U163" s="31"/>
      <c r="V163" s="31"/>
    </row>
    <row r="164" spans="1:22" ht="16.5" hidden="1" thickBot="1">
      <c r="A164" s="31"/>
      <c r="B164" s="332"/>
      <c r="C164" s="370"/>
      <c r="D164" s="376" t="s">
        <v>492</v>
      </c>
      <c r="E164" s="371">
        <f>SUM(E158:E163)</f>
        <v>1038233.7617557691</v>
      </c>
      <c r="F164" s="330"/>
      <c r="G164" s="377"/>
      <c r="H164" s="371">
        <f>SUM(H158:H163)</f>
        <v>958118.36884615384</v>
      </c>
      <c r="I164" s="330"/>
      <c r="J164" s="377"/>
      <c r="K164" s="371">
        <f>SUM(K158:K163)</f>
        <v>925718.23076923075</v>
      </c>
      <c r="L164" s="330"/>
      <c r="M164" s="377"/>
      <c r="N164" s="371">
        <f>SUM(N158:N163)</f>
        <v>862925.23076923075</v>
      </c>
      <c r="O164" s="330"/>
      <c r="P164" s="377"/>
      <c r="Q164" s="304"/>
      <c r="R164" s="31"/>
      <c r="S164" s="31"/>
      <c r="T164" s="31"/>
      <c r="U164" s="31"/>
      <c r="V164" s="31"/>
    </row>
    <row r="165" spans="1:22" ht="15.75" hidden="1" thickBot="1">
      <c r="A165" s="31"/>
      <c r="B165" s="327">
        <v>440</v>
      </c>
      <c r="C165" s="326"/>
      <c r="D165" s="328" t="s">
        <v>493</v>
      </c>
      <c r="E165" s="369">
        <f>E96</f>
        <v>0</v>
      </c>
      <c r="F165" s="366">
        <f t="shared" ref="F165" si="57">-E165</f>
        <v>0</v>
      </c>
      <c r="G165" s="375"/>
      <c r="H165" s="369">
        <f>H96</f>
        <v>0</v>
      </c>
      <c r="I165" s="366">
        <f t="shared" ref="I165" si="58">-H165</f>
        <v>0</v>
      </c>
      <c r="J165" s="375"/>
      <c r="K165" s="369">
        <f>K96</f>
        <v>0</v>
      </c>
      <c r="L165" s="366">
        <f t="shared" ref="L165" si="59">-K165</f>
        <v>0</v>
      </c>
      <c r="M165" s="375"/>
      <c r="N165" s="369">
        <f>N96</f>
        <v>0</v>
      </c>
      <c r="O165" s="366">
        <f t="shared" ref="O165" si="60">-N165</f>
        <v>0</v>
      </c>
      <c r="P165" s="375"/>
      <c r="Q165" s="76"/>
      <c r="R165" s="367"/>
      <c r="S165" s="31"/>
      <c r="T165" s="31"/>
      <c r="U165" s="31"/>
      <c r="V165" s="31"/>
    </row>
    <row r="166" spans="1:22" ht="15.75" hidden="1" thickBot="1">
      <c r="A166" s="31"/>
      <c r="B166" s="332">
        <v>502</v>
      </c>
      <c r="C166" s="378">
        <v>0.19</v>
      </c>
      <c r="D166" s="335" t="s">
        <v>495</v>
      </c>
      <c r="E166" s="379"/>
      <c r="F166" s="380">
        <f>-totalremjul26*0.19-0.19*1.07*E153</f>
        <v>-162565.52151634614</v>
      </c>
      <c r="G166" s="375"/>
      <c r="H166" s="379"/>
      <c r="I166" s="380">
        <f>-totalremmay26*0.19-0.19*1.07*H153</f>
        <v>-157068.13673076921</v>
      </c>
      <c r="J166" s="375"/>
      <c r="K166" s="379"/>
      <c r="L166" s="380">
        <f>-totalremdic25*0.19-0.19*1.07*K153</f>
        <v>-151756.65384615384</v>
      </c>
      <c r="M166" s="375"/>
      <c r="N166" s="379"/>
      <c r="O166" s="380">
        <f>-totalremdic25*0.19-0.19*1.07*N153</f>
        <v>-151756.65384615384</v>
      </c>
      <c r="P166" s="375"/>
      <c r="Q166" s="381"/>
      <c r="R166" s="382"/>
      <c r="S166" s="31"/>
      <c r="T166" s="31"/>
      <c r="U166" s="31"/>
      <c r="V166" s="31"/>
    </row>
    <row r="167" spans="1:22" ht="15.75" hidden="1" thickBot="1">
      <c r="A167" s="31"/>
      <c r="B167" s="332">
        <v>505</v>
      </c>
      <c r="C167" s="378">
        <v>0.03</v>
      </c>
      <c r="D167" s="335" t="s">
        <v>496</v>
      </c>
      <c r="E167" s="379"/>
      <c r="F167" s="380">
        <f>-totalremjul26*poros-poros*1.07*E153</f>
        <v>-25668.24023942307</v>
      </c>
      <c r="G167" s="375"/>
      <c r="H167" s="379"/>
      <c r="I167" s="380">
        <f>-totalremmay26*poros-poros*1.07*H153</f>
        <v>-24800.232115384613</v>
      </c>
      <c r="J167" s="375"/>
      <c r="K167" s="379"/>
      <c r="L167" s="380">
        <f>-totalremdic25*poros-poros*1.07*K153</f>
        <v>-23961.576923076922</v>
      </c>
      <c r="M167" s="375"/>
      <c r="N167" s="379"/>
      <c r="O167" s="380">
        <f>-totalremdic25*poros-poros*1.07*N153</f>
        <v>-23961.576923076922</v>
      </c>
      <c r="P167" s="375"/>
      <c r="Q167" s="381"/>
      <c r="R167" s="382"/>
      <c r="S167" s="31"/>
      <c r="T167" s="31"/>
      <c r="U167" s="31"/>
      <c r="V167" s="31"/>
    </row>
    <row r="168" spans="1:22" ht="15.75" hidden="1" thickBot="1">
      <c r="A168" s="31"/>
      <c r="B168" s="327">
        <v>510</v>
      </c>
      <c r="C168" s="328"/>
      <c r="D168" s="330" t="s">
        <v>497</v>
      </c>
      <c r="E168" s="369">
        <f>E99</f>
        <v>0</v>
      </c>
      <c r="F168" s="366">
        <f t="shared" ref="F168" si="61">-E168</f>
        <v>0</v>
      </c>
      <c r="G168" s="375"/>
      <c r="H168" s="369">
        <f>H99</f>
        <v>0</v>
      </c>
      <c r="I168" s="366">
        <f t="shared" ref="I168" si="62">-H168</f>
        <v>0</v>
      </c>
      <c r="J168" s="375"/>
      <c r="K168" s="369">
        <f>K99</f>
        <v>0</v>
      </c>
      <c r="L168" s="366">
        <f t="shared" ref="L168" si="63">-K168</f>
        <v>0</v>
      </c>
      <c r="M168" s="375"/>
      <c r="N168" s="369">
        <f>N99</f>
        <v>0</v>
      </c>
      <c r="O168" s="366">
        <f t="shared" ref="O168" si="64">-N168</f>
        <v>0</v>
      </c>
      <c r="P168" s="375"/>
      <c r="Q168" s="76"/>
      <c r="R168" s="382"/>
      <c r="S168" s="31"/>
      <c r="T168" s="31"/>
      <c r="U168" s="31"/>
      <c r="V168" s="31"/>
    </row>
    <row r="169" spans="1:22" ht="16.5" hidden="1" thickBot="1">
      <c r="A169" s="31"/>
      <c r="B169" s="332">
        <v>332</v>
      </c>
      <c r="C169" s="356">
        <f>C100</f>
        <v>0</v>
      </c>
      <c r="D169" s="335" t="s">
        <v>498</v>
      </c>
      <c r="E169" s="383"/>
      <c r="F169" s="380">
        <f>-totalremjul26*$C169-E153*$C169-(E159+E160)*$C169</f>
        <v>0</v>
      </c>
      <c r="G169" s="375"/>
      <c r="H169" s="383"/>
      <c r="I169" s="380">
        <f>-totalremmay26*$C169-H153*$C169-(H159+H160)*$C169</f>
        <v>0</v>
      </c>
      <c r="J169" s="375"/>
      <c r="K169" s="383"/>
      <c r="L169" s="380">
        <f>-totalremdic25*$C169-K153*$C169-(K159+K160)*$C169</f>
        <v>0</v>
      </c>
      <c r="M169" s="375"/>
      <c r="N169" s="383"/>
      <c r="O169" s="380">
        <f>-totalremdic25*$C169-N153*$C169-(N159+N160)*$C169</f>
        <v>0</v>
      </c>
      <c r="P169" s="375"/>
      <c r="Q169" s="381"/>
      <c r="R169" s="382"/>
      <c r="S169" s="31"/>
      <c r="T169" s="31"/>
      <c r="U169" s="31"/>
      <c r="V169" s="31"/>
    </row>
    <row r="170" spans="1:22" ht="16.5" hidden="1" thickBot="1">
      <c r="A170" s="31"/>
      <c r="B170" s="384"/>
      <c r="C170" s="356"/>
      <c r="D170" s="328" t="s">
        <v>499</v>
      </c>
      <c r="E170" s="385">
        <f>E101</f>
        <v>0</v>
      </c>
      <c r="F170" s="366">
        <f t="shared" ref="F170" si="65">-E170</f>
        <v>0</v>
      </c>
      <c r="G170" s="375"/>
      <c r="H170" s="385">
        <f>H101</f>
        <v>0</v>
      </c>
      <c r="I170" s="366">
        <f t="shared" ref="I170" si="66">-H170</f>
        <v>0</v>
      </c>
      <c r="J170" s="375"/>
      <c r="K170" s="385">
        <f>K101</f>
        <v>0</v>
      </c>
      <c r="L170" s="366">
        <f t="shared" ref="L170" si="67">-K170</f>
        <v>0</v>
      </c>
      <c r="M170" s="375"/>
      <c r="N170" s="385">
        <f>N101</f>
        <v>0</v>
      </c>
      <c r="O170" s="366">
        <f t="shared" ref="O170" si="68">-N170</f>
        <v>0</v>
      </c>
      <c r="P170" s="375"/>
      <c r="Q170" s="76"/>
      <c r="R170" s="382"/>
      <c r="S170" s="31"/>
      <c r="T170" s="31"/>
      <c r="U170" s="31"/>
      <c r="V170" s="31"/>
    </row>
    <row r="171" spans="1:22" ht="16.5" hidden="1" thickBot="1">
      <c r="A171" s="31"/>
      <c r="B171" s="368"/>
      <c r="C171" s="370"/>
      <c r="D171" s="376" t="s">
        <v>500</v>
      </c>
      <c r="E171" s="333"/>
      <c r="F171" s="386">
        <f>SUM(F165:F170)</f>
        <v>-188233.7617557692</v>
      </c>
      <c r="G171" s="377"/>
      <c r="H171" s="333"/>
      <c r="I171" s="386">
        <f>SUM(I165:I170)</f>
        <v>-181868.36884615384</v>
      </c>
      <c r="J171" s="377"/>
      <c r="K171" s="333"/>
      <c r="L171" s="386">
        <f>SUM(L165:L170)</f>
        <v>-175718.23076923075</v>
      </c>
      <c r="M171" s="377"/>
      <c r="N171" s="333"/>
      <c r="O171" s="386">
        <f>SUM(O165:O170)</f>
        <v>-175718.23076923075</v>
      </c>
      <c r="P171" s="377"/>
      <c r="Q171" s="387"/>
      <c r="R171" s="337"/>
      <c r="S171" s="31"/>
      <c r="T171" s="31"/>
      <c r="U171" s="31"/>
      <c r="V171" s="31"/>
    </row>
    <row r="172" spans="1:22" ht="15.75" hidden="1" thickBot="1">
      <c r="A172" s="31"/>
      <c r="B172" s="384"/>
      <c r="C172" s="328"/>
      <c r="D172" s="366"/>
      <c r="E172" s="328"/>
      <c r="F172" s="328"/>
      <c r="G172" s="388"/>
      <c r="H172" s="328"/>
      <c r="I172" s="328"/>
      <c r="J172" s="388"/>
      <c r="K172" s="328"/>
      <c r="L172" s="328"/>
      <c r="M172" s="388"/>
      <c r="N172" s="328"/>
      <c r="O172" s="328"/>
      <c r="P172" s="388"/>
      <c r="Q172" s="31"/>
      <c r="R172" s="31"/>
      <c r="S172" s="31"/>
      <c r="T172" s="31"/>
      <c r="U172" s="31"/>
      <c r="V172" s="31"/>
    </row>
    <row r="173" spans="1:22" ht="24" hidden="1" thickBot="1">
      <c r="A173" s="31"/>
      <c r="B173" s="384"/>
      <c r="C173" s="328"/>
      <c r="D173" s="328"/>
      <c r="E173" s="389" t="s">
        <v>504</v>
      </c>
      <c r="F173" s="390">
        <f>E164+F171</f>
        <v>850000</v>
      </c>
      <c r="G173" s="375"/>
      <c r="H173" s="389" t="s">
        <v>504</v>
      </c>
      <c r="I173" s="390">
        <f>H164+I171</f>
        <v>776250</v>
      </c>
      <c r="J173" s="375"/>
      <c r="K173" s="389" t="s">
        <v>504</v>
      </c>
      <c r="L173" s="390">
        <f>K164+L171</f>
        <v>750000</v>
      </c>
      <c r="M173" s="375"/>
      <c r="N173" s="389" t="s">
        <v>504</v>
      </c>
      <c r="O173" s="390">
        <f>N164+O171</f>
        <v>687207</v>
      </c>
      <c r="P173" s="375"/>
      <c r="Q173" s="391"/>
      <c r="R173" s="31"/>
      <c r="S173" s="31"/>
      <c r="T173" s="31"/>
      <c r="U173" s="31"/>
      <c r="V173" s="31"/>
    </row>
    <row r="174" spans="1:22" ht="24" hidden="1" thickBot="1">
      <c r="A174" s="31"/>
      <c r="B174" s="384"/>
      <c r="C174" s="328"/>
      <c r="D174" s="328"/>
      <c r="E174" s="389"/>
      <c r="F174" s="392"/>
      <c r="G174" s="375"/>
      <c r="H174" s="389"/>
      <c r="I174" s="392"/>
      <c r="J174" s="375"/>
      <c r="K174" s="389"/>
      <c r="L174" s="392"/>
      <c r="M174" s="375"/>
      <c r="N174" s="389"/>
      <c r="O174" s="392">
        <f>O173+60000</f>
        <v>747207</v>
      </c>
      <c r="P174" s="375"/>
      <c r="Q174" s="391"/>
      <c r="R174" s="31"/>
      <c r="S174" s="31"/>
      <c r="T174" s="31"/>
      <c r="U174" s="31"/>
      <c r="V174" s="31"/>
    </row>
    <row r="175" spans="1:22" ht="16.5" hidden="1" thickBot="1">
      <c r="A175" s="31"/>
      <c r="B175" s="384"/>
      <c r="C175" s="389"/>
      <c r="D175" s="389"/>
      <c r="E175" s="393"/>
      <c r="F175" s="366"/>
      <c r="G175" s="377"/>
      <c r="H175" s="393"/>
      <c r="I175" s="366"/>
      <c r="J175" s="377"/>
      <c r="K175" s="393"/>
      <c r="L175" s="366"/>
      <c r="M175" s="377"/>
      <c r="N175" s="393"/>
      <c r="O175" s="366"/>
      <c r="P175" s="377"/>
      <c r="Q175" s="31"/>
      <c r="R175" s="31"/>
      <c r="S175" s="31"/>
      <c r="T175" s="31"/>
      <c r="U175" s="31"/>
      <c r="V175" s="31"/>
    </row>
    <row r="176" spans="1:22" ht="16.5" hidden="1" thickBot="1">
      <c r="A176" s="31"/>
      <c r="B176" s="384"/>
      <c r="C176" s="389"/>
      <c r="D176" s="389"/>
      <c r="E176" s="328" t="s">
        <v>505</v>
      </c>
      <c r="F176" s="328"/>
      <c r="G176" s="377"/>
      <c r="H176" s="328" t="s">
        <v>505</v>
      </c>
      <c r="I176" s="328"/>
      <c r="J176" s="377"/>
      <c r="K176" s="328" t="s">
        <v>505</v>
      </c>
      <c r="L176" s="328"/>
      <c r="M176" s="377"/>
      <c r="N176" s="328" t="s">
        <v>505</v>
      </c>
      <c r="O176" s="328"/>
      <c r="P176" s="377"/>
      <c r="Q176" s="31"/>
      <c r="R176" s="31"/>
      <c r="S176" s="31"/>
      <c r="T176" s="31"/>
      <c r="U176" s="31"/>
      <c r="V176" s="31"/>
    </row>
    <row r="177" spans="1:22" ht="16.5" hidden="1" thickBot="1">
      <c r="A177" s="31"/>
      <c r="B177" s="384"/>
      <c r="C177" s="389"/>
      <c r="D177" s="389"/>
      <c r="E177" s="366">
        <f>E141+E142+E143+E144+E145+E146+E147+E150+E151+E152+F165+E154+E155+((E141+E142+E143+E144+E145+E146+E147+E150+E151+E152+F165+E154+E155)*0.07)</f>
        <v>678195.15195296751</v>
      </c>
      <c r="F177" s="328"/>
      <c r="G177" s="377"/>
      <c r="H177" s="366">
        <f>H141+H142+H143+H144+H145+H146+H147+H150+H151+H152+I165+H154+H155+((H141+H142+H143+H144+H145+H146+H147+H150+H151+H152+I165+H154+H155)*0.07)</f>
        <v>658441.89509996853</v>
      </c>
      <c r="I177" s="328"/>
      <c r="J177" s="377"/>
      <c r="K177" s="366">
        <f>K141+K142+K143+K144+K145+K146+K147+K150+K151+K152+L165+K154+K155+((K141+K142+K143+K144+K145+K146+K147+K150+K151+K152+L165+K154+K155)*0.07)</f>
        <v>636175.66865979542</v>
      </c>
      <c r="L177" s="328"/>
      <c r="M177" s="377"/>
      <c r="N177" s="366">
        <f>N141+N142+N143+N144+N145+N146+N147+N150+N151+N152+O165+N154+N155+((N141+N142+N143+N144+N145+N146+N147+N150+N151+N152+O165+N154+N155)*0.07)</f>
        <v>636175.66865979542</v>
      </c>
      <c r="O177" s="328"/>
      <c r="P177" s="377"/>
      <c r="Q177" s="31"/>
      <c r="R177" s="31"/>
      <c r="S177" s="31"/>
      <c r="T177" s="31"/>
      <c r="U177" s="31"/>
      <c r="V177" s="31"/>
    </row>
    <row r="178" spans="1:22" ht="16.5" hidden="1" thickBot="1">
      <c r="A178" s="31"/>
      <c r="B178" s="384"/>
      <c r="C178" s="389"/>
      <c r="D178" s="389"/>
      <c r="E178" s="366"/>
      <c r="F178" s="328"/>
      <c r="G178" s="377"/>
      <c r="H178" s="366"/>
      <c r="I178" s="328"/>
      <c r="J178" s="377"/>
      <c r="K178" s="366"/>
      <c r="L178" s="328"/>
      <c r="M178" s="377"/>
      <c r="N178" s="366"/>
      <c r="O178" s="328"/>
      <c r="P178" s="377"/>
      <c r="Q178" s="31"/>
      <c r="R178" s="31"/>
      <c r="S178" s="31"/>
      <c r="T178" s="31"/>
      <c r="U178" s="31"/>
      <c r="V178" s="31"/>
    </row>
    <row r="179" spans="1:22" ht="18.75" hidden="1" thickBot="1">
      <c r="A179" s="31"/>
      <c r="B179" s="384"/>
      <c r="C179" s="389"/>
      <c r="D179" s="389"/>
      <c r="E179" s="394" t="s">
        <v>506</v>
      </c>
      <c r="F179" s="395">
        <f>F173-I173</f>
        <v>73750</v>
      </c>
      <c r="G179" s="377"/>
      <c r="H179" s="394" t="s">
        <v>506</v>
      </c>
      <c r="I179" s="395">
        <f>I173-L173</f>
        <v>26250</v>
      </c>
      <c r="J179" s="377"/>
      <c r="K179" s="394" t="s">
        <v>506</v>
      </c>
      <c r="L179" s="395">
        <f>L173-O173</f>
        <v>62793</v>
      </c>
      <c r="M179" s="377"/>
      <c r="N179" s="394" t="s">
        <v>506</v>
      </c>
      <c r="O179" s="395"/>
      <c r="P179" s="377"/>
      <c r="Q179" s="396"/>
      <c r="R179" s="31"/>
      <c r="S179" s="31"/>
      <c r="T179" s="31"/>
      <c r="U179" s="31"/>
      <c r="V179" s="31"/>
    </row>
    <row r="180" spans="1:22" ht="18.75" hidden="1" thickBot="1">
      <c r="A180" s="31"/>
      <c r="B180" s="328"/>
      <c r="C180" s="328"/>
      <c r="D180" s="328"/>
      <c r="E180" s="394" t="s">
        <v>507</v>
      </c>
      <c r="F180" s="397">
        <f>F179/I173</f>
        <v>9.5008051529790666E-2</v>
      </c>
      <c r="G180" s="375"/>
      <c r="H180" s="394" t="s">
        <v>507</v>
      </c>
      <c r="I180" s="397">
        <f>I179/L173</f>
        <v>3.5000000000000003E-2</v>
      </c>
      <c r="J180" s="375"/>
      <c r="K180" s="394" t="s">
        <v>507</v>
      </c>
      <c r="L180" s="397">
        <f>L179/O173</f>
        <v>9.1374214756252486E-2</v>
      </c>
      <c r="M180" s="375"/>
      <c r="N180" s="394" t="s">
        <v>507</v>
      </c>
      <c r="O180" s="397"/>
      <c r="P180" s="375"/>
      <c r="Q180" s="398"/>
      <c r="R180" s="399"/>
      <c r="S180" s="31"/>
      <c r="T180" s="31"/>
      <c r="U180" s="31"/>
      <c r="V180" s="31"/>
    </row>
    <row r="181" spans="1:22" ht="18.75" hidden="1" thickBot="1">
      <c r="A181" s="31"/>
      <c r="B181" s="328"/>
      <c r="C181" s="328"/>
      <c r="D181" s="328"/>
      <c r="E181" s="400"/>
      <c r="F181" s="401"/>
      <c r="G181" s="328"/>
      <c r="H181" s="400"/>
      <c r="I181" s="401"/>
      <c r="J181" s="328"/>
      <c r="K181" s="400"/>
      <c r="L181" s="401"/>
      <c r="M181" s="328"/>
      <c r="N181" s="400"/>
      <c r="O181" s="401"/>
      <c r="P181" s="328"/>
      <c r="Q181" s="398"/>
      <c r="R181" s="399"/>
      <c r="S181" s="31"/>
      <c r="T181" s="31"/>
      <c r="U181" s="31"/>
      <c r="V181" s="31"/>
    </row>
    <row r="182" spans="1:22" ht="18.75" hidden="1" thickBot="1">
      <c r="A182" s="31"/>
      <c r="B182" s="328"/>
      <c r="C182" s="328"/>
      <c r="D182" s="328"/>
      <c r="E182" s="301" t="s">
        <v>501</v>
      </c>
      <c r="F182" s="402">
        <f>(F173-E159-E160-E161-E162-E163)-(I173-H159-H160-H161-H162-H163)</f>
        <v>22568.211224999977</v>
      </c>
      <c r="G182" s="328"/>
      <c r="H182" s="301" t="s">
        <v>501</v>
      </c>
      <c r="I182" s="402">
        <f>(I173-H159-H160-H161-H162-H163)-(L173-K159-K160-K163)</f>
        <v>21805.034999999916</v>
      </c>
      <c r="J182" s="328"/>
      <c r="K182" s="301" t="s">
        <v>501</v>
      </c>
      <c r="L182" s="402">
        <f>(L173-K159-K160-K161-K162-K163)-(O173-N159-N160-N163)</f>
        <v>0</v>
      </c>
      <c r="M182" s="328"/>
      <c r="N182" s="301" t="s">
        <v>501</v>
      </c>
      <c r="O182" s="402"/>
      <c r="P182" s="328"/>
      <c r="Q182" s="398"/>
      <c r="R182" s="399"/>
      <c r="S182" s="31"/>
      <c r="T182" s="31"/>
      <c r="U182" s="31"/>
      <c r="V182" s="31"/>
    </row>
    <row r="183" spans="1:22" ht="18.75" hidden="1" thickBot="1">
      <c r="A183" s="31"/>
      <c r="B183" s="328"/>
      <c r="C183" s="328"/>
      <c r="D183" s="328"/>
      <c r="E183" s="301" t="s">
        <v>508</v>
      </c>
      <c r="F183" s="403">
        <f>F182/(I173-H159-H160-H163)</f>
        <v>3.2020456841008717E-2</v>
      </c>
      <c r="G183" s="328"/>
      <c r="H183" s="301" t="s">
        <v>508</v>
      </c>
      <c r="I183" s="403">
        <f>I182/(L173-K159-K160-K161-K162-K163)</f>
        <v>3.4999999999999865E-2</v>
      </c>
      <c r="J183" s="328"/>
      <c r="K183" s="301" t="s">
        <v>508</v>
      </c>
      <c r="L183" s="403">
        <f>L182/(O173-N159-N160-N163)</f>
        <v>0</v>
      </c>
      <c r="M183" s="328"/>
      <c r="N183" s="301" t="s">
        <v>508</v>
      </c>
      <c r="O183" s="403"/>
      <c r="P183" s="328"/>
      <c r="Q183" s="398"/>
      <c r="R183" s="399"/>
      <c r="S183" s="31"/>
      <c r="T183" s="31"/>
      <c r="U183" s="31"/>
      <c r="V183" s="31"/>
    </row>
    <row r="184" spans="1:22" ht="16.5" hidden="1" thickBot="1">
      <c r="A184" s="31"/>
      <c r="B184" s="384"/>
      <c r="C184" s="389"/>
      <c r="D184" s="389"/>
      <c r="E184" s="328"/>
      <c r="F184" s="328"/>
      <c r="G184" s="377"/>
      <c r="H184" s="328"/>
      <c r="I184" s="328"/>
      <c r="J184" s="377"/>
      <c r="K184" s="328"/>
      <c r="L184" s="328"/>
      <c r="M184" s="377"/>
      <c r="N184" s="328"/>
      <c r="O184" s="328"/>
      <c r="P184" s="377"/>
      <c r="Q184" s="31"/>
      <c r="R184" s="404"/>
      <c r="S184" s="31"/>
      <c r="T184" s="31"/>
      <c r="U184" s="31"/>
      <c r="V184" s="31"/>
    </row>
    <row r="185" spans="1:22" ht="18.75" hidden="1" thickBot="1">
      <c r="A185" s="31"/>
      <c r="B185" s="384"/>
      <c r="C185" s="389"/>
      <c r="D185" s="389"/>
      <c r="E185" s="405" t="s">
        <v>454</v>
      </c>
      <c r="F185" s="406">
        <f>F173-$O173</f>
        <v>162793</v>
      </c>
      <c r="G185" s="377"/>
      <c r="H185" s="405" t="s">
        <v>454</v>
      </c>
      <c r="I185" s="406">
        <f>I173-$O173</f>
        <v>89043</v>
      </c>
      <c r="J185" s="377"/>
      <c r="K185" s="405" t="s">
        <v>454</v>
      </c>
      <c r="L185" s="406">
        <f>L173-$O173</f>
        <v>62793</v>
      </c>
      <c r="M185" s="377"/>
      <c r="N185" s="405" t="s">
        <v>454</v>
      </c>
      <c r="O185" s="406"/>
      <c r="P185" s="377"/>
      <c r="Q185" s="31"/>
      <c r="R185" s="31"/>
      <c r="S185" s="31"/>
      <c r="T185" s="31"/>
      <c r="U185" s="31"/>
      <c r="V185" s="31"/>
    </row>
    <row r="186" spans="1:22" ht="18.75" hidden="1" thickBot="1">
      <c r="A186" s="31"/>
      <c r="B186" s="384"/>
      <c r="C186" s="389"/>
      <c r="D186" s="389"/>
      <c r="E186" s="405" t="s">
        <v>509</v>
      </c>
      <c r="F186" s="407">
        <f>F185/$O173</f>
        <v>0.23689077672375281</v>
      </c>
      <c r="G186" s="377"/>
      <c r="H186" s="405" t="s">
        <v>509</v>
      </c>
      <c r="I186" s="407">
        <f>I185/$O173</f>
        <v>0.12957231227272131</v>
      </c>
      <c r="J186" s="377"/>
      <c r="K186" s="405" t="s">
        <v>509</v>
      </c>
      <c r="L186" s="407">
        <f>L185/$O173</f>
        <v>9.1374214756252486E-2</v>
      </c>
      <c r="M186" s="377"/>
      <c r="N186" s="405" t="s">
        <v>509</v>
      </c>
      <c r="O186" s="407"/>
      <c r="P186" s="377"/>
      <c r="Q186" s="31"/>
      <c r="R186" s="31"/>
      <c r="S186" s="31"/>
      <c r="T186" s="31"/>
      <c r="U186" s="31"/>
      <c r="V186" s="31"/>
    </row>
    <row r="187" spans="1:22" ht="16.5" hidden="1" thickBot="1">
      <c r="A187" s="31"/>
      <c r="B187" s="384"/>
      <c r="C187" s="389"/>
      <c r="D187" s="389"/>
      <c r="E187" s="328"/>
      <c r="F187" s="328"/>
      <c r="G187" s="377"/>
      <c r="H187" s="328"/>
      <c r="I187" s="328"/>
      <c r="J187" s="377"/>
      <c r="K187" s="328"/>
      <c r="L187" s="328"/>
      <c r="M187" s="377"/>
      <c r="N187" s="328"/>
      <c r="O187" s="328"/>
      <c r="P187" s="377"/>
      <c r="Q187" s="31"/>
      <c r="R187" s="31"/>
      <c r="S187" s="31"/>
      <c r="T187" s="31"/>
      <c r="U187" s="31"/>
      <c r="V187" s="31"/>
    </row>
    <row r="188" spans="1:22" ht="18.75" hidden="1" thickBot="1">
      <c r="A188" s="31"/>
      <c r="B188" s="384"/>
      <c r="C188" s="389"/>
      <c r="D188" s="389"/>
      <c r="E188" s="309" t="s">
        <v>510</v>
      </c>
      <c r="F188" s="406">
        <f>(F173-E159-E160-E161-E162-E163)-($O173-$N159-$N160-$N163)</f>
        <v>44373.246224999893</v>
      </c>
      <c r="G188" s="377"/>
      <c r="H188" s="309" t="s">
        <v>510</v>
      </c>
      <c r="I188" s="406">
        <f>(I173-H159-H160-H161-H162-H163)-($O173-$N159-$N160-$N163)</f>
        <v>21805.034999999916</v>
      </c>
      <c r="J188" s="377"/>
      <c r="K188" s="309" t="s">
        <v>510</v>
      </c>
      <c r="L188" s="406">
        <f>(L173-K159-K160-K161-K162-K163)-($O173-$N159-$N160-$N163)</f>
        <v>0</v>
      </c>
      <c r="M188" s="377"/>
      <c r="N188" s="309" t="s">
        <v>510</v>
      </c>
      <c r="O188" s="406"/>
      <c r="P188" s="377"/>
      <c r="Q188" s="31"/>
      <c r="R188" s="31"/>
      <c r="S188" s="31"/>
      <c r="T188" s="31"/>
      <c r="U188" s="31"/>
      <c r="V188" s="31"/>
    </row>
    <row r="189" spans="1:22" ht="18.75" hidden="1" thickBot="1">
      <c r="A189" s="31"/>
      <c r="B189" s="384"/>
      <c r="C189" s="389"/>
      <c r="D189" s="389"/>
      <c r="E189" s="311" t="s">
        <v>502</v>
      </c>
      <c r="F189" s="408">
        <f>F188/($O173-$N159-$N160-$N163)</f>
        <v>7.122499999999983E-2</v>
      </c>
      <c r="G189" s="377"/>
      <c r="H189" s="311" t="s">
        <v>502</v>
      </c>
      <c r="I189" s="408">
        <f>I188/($O173-$N159-$N160-$N163)</f>
        <v>3.4999999999999865E-2</v>
      </c>
      <c r="J189" s="377"/>
      <c r="K189" s="311" t="s">
        <v>502</v>
      </c>
      <c r="L189" s="408">
        <f>L188/($O173-$N159-$N160-$N163)</f>
        <v>0</v>
      </c>
      <c r="M189" s="377"/>
      <c r="N189" s="311" t="s">
        <v>502</v>
      </c>
      <c r="O189" s="408"/>
      <c r="P189" s="377"/>
      <c r="Q189" s="31"/>
      <c r="R189" s="31"/>
      <c r="S189" s="31"/>
      <c r="T189" s="31"/>
      <c r="U189" s="31"/>
      <c r="V189" s="31"/>
    </row>
    <row r="190" spans="1:22" ht="16.5" hidden="1" thickBot="1">
      <c r="A190" s="31"/>
      <c r="B190" s="384"/>
      <c r="C190" s="389"/>
      <c r="D190" s="389"/>
      <c r="E190" s="328"/>
      <c r="F190" s="328"/>
      <c r="G190" s="377"/>
      <c r="H190" s="328"/>
      <c r="I190" s="328"/>
      <c r="J190" s="377"/>
      <c r="K190" s="328"/>
      <c r="L190" s="328"/>
      <c r="M190" s="377"/>
      <c r="N190" s="328"/>
      <c r="O190" s="328"/>
      <c r="P190" s="377"/>
      <c r="Q190" s="31"/>
      <c r="R190" s="31"/>
      <c r="S190" s="31"/>
      <c r="T190" s="31"/>
      <c r="U190" s="31"/>
      <c r="V190" s="31"/>
    </row>
    <row r="191" spans="1:22" ht="16.5" hidden="1" thickBot="1">
      <c r="A191" s="31"/>
      <c r="B191" s="384"/>
      <c r="C191" s="389"/>
      <c r="D191" s="389"/>
      <c r="E191" s="389" t="s">
        <v>511</v>
      </c>
      <c r="F191" s="393"/>
      <c r="G191" s="377"/>
      <c r="H191" s="389" t="s">
        <v>511</v>
      </c>
      <c r="I191" s="393"/>
      <c r="J191" s="377"/>
      <c r="K191" s="389" t="s">
        <v>511</v>
      </c>
      <c r="L191" s="393"/>
      <c r="M191" s="377"/>
      <c r="N191" s="389" t="s">
        <v>511</v>
      </c>
      <c r="O191" s="393"/>
      <c r="P191" s="377"/>
      <c r="Q191" s="31"/>
      <c r="R191" s="31"/>
      <c r="S191" s="31"/>
      <c r="T191" s="31"/>
      <c r="U191" s="31"/>
      <c r="V191" s="31"/>
    </row>
    <row r="192" spans="1:22" ht="16.5" hidden="1" thickBot="1">
      <c r="A192" s="31"/>
      <c r="B192" s="384"/>
      <c r="C192" s="389"/>
      <c r="D192" s="389"/>
      <c r="E192" s="326" t="s">
        <v>512</v>
      </c>
      <c r="F192" s="409">
        <f>(E141+E142+E143+E144+E145+E146+E147+E148+E149+E150+E151+E152+E153+E154+E155)*0.5</f>
        <v>427804.00399038452</v>
      </c>
      <c r="G192" s="377"/>
      <c r="H192" s="326" t="s">
        <v>512</v>
      </c>
      <c r="I192" s="409">
        <f>(H141+H142+H143+H144+H145+H146+H147+H148+H149+H150+H151+H152+H153+H154+H155)*0.5</f>
        <v>413337.20192307688</v>
      </c>
      <c r="J192" s="377"/>
      <c r="K192" s="326" t="s">
        <v>512</v>
      </c>
      <c r="L192" s="409">
        <f>(K141+K142+K143+K144+K145+K146+K147+K148+K149+K150+K151+K152+K153+K154+K155)*0.5</f>
        <v>399359.61538461538</v>
      </c>
      <c r="M192" s="377"/>
      <c r="N192" s="326" t="s">
        <v>512</v>
      </c>
      <c r="O192" s="409">
        <f>(N141+N142+N143+N144+N145+N146+N147+N148+N149+N150+N151+N152+N153+N154+N155)*0.5</f>
        <v>399359.61538461538</v>
      </c>
      <c r="P192" s="377"/>
      <c r="Q192" s="31"/>
      <c r="R192" s="31"/>
      <c r="S192" s="31"/>
      <c r="T192" s="31"/>
      <c r="U192" s="31"/>
      <c r="V192" s="31"/>
    </row>
    <row r="193" spans="1:25" ht="16.5" hidden="1" thickBot="1">
      <c r="A193" s="31"/>
      <c r="B193" s="384"/>
      <c r="C193" s="389"/>
      <c r="D193" s="389"/>
      <c r="E193" s="326" t="s">
        <v>513</v>
      </c>
      <c r="F193" s="393"/>
      <c r="G193" s="377"/>
      <c r="H193" s="326" t="s">
        <v>513</v>
      </c>
      <c r="I193" s="393"/>
      <c r="J193" s="377"/>
      <c r="K193" s="326" t="s">
        <v>513</v>
      </c>
      <c r="L193" s="393"/>
      <c r="M193" s="377"/>
      <c r="N193" s="326" t="s">
        <v>513</v>
      </c>
      <c r="O193" s="393"/>
      <c r="P193" s="377"/>
      <c r="Q193" s="31"/>
      <c r="R193" s="31"/>
      <c r="S193" s="31"/>
      <c r="T193" s="31"/>
      <c r="U193" s="31"/>
      <c r="V193" s="31"/>
    </row>
    <row r="194" spans="1:25" ht="16.5" hidden="1" thickBot="1">
      <c r="A194" s="31"/>
      <c r="B194" s="384"/>
      <c r="C194" s="389"/>
      <c r="D194" s="389"/>
      <c r="E194" s="328" t="s">
        <v>514</v>
      </c>
      <c r="F194" s="328">
        <f>F192*0.78</f>
        <v>333687.12311249995</v>
      </c>
      <c r="G194" s="377"/>
      <c r="H194" s="328" t="s">
        <v>514</v>
      </c>
      <c r="I194" s="328">
        <f>I192*0.78</f>
        <v>322403.01749999996</v>
      </c>
      <c r="J194" s="377"/>
      <c r="K194" s="328" t="s">
        <v>514</v>
      </c>
      <c r="L194" s="328">
        <f>L192*0.78</f>
        <v>311500.5</v>
      </c>
      <c r="M194" s="377"/>
      <c r="N194" s="328" t="s">
        <v>514</v>
      </c>
      <c r="O194" s="328">
        <f>O192*0.78</f>
        <v>311500.5</v>
      </c>
      <c r="P194" s="377"/>
      <c r="Q194" s="31"/>
      <c r="R194" s="31"/>
      <c r="S194" s="31"/>
      <c r="T194" s="31"/>
      <c r="U194" s="31"/>
      <c r="V194" s="31"/>
    </row>
    <row r="195" spans="1:25" ht="16.5" hidden="1" thickBot="1">
      <c r="A195" s="31"/>
      <c r="B195" s="384"/>
      <c r="C195" s="389"/>
      <c r="D195" s="389"/>
      <c r="E195" s="326" t="s">
        <v>515</v>
      </c>
      <c r="F195" s="342"/>
      <c r="G195" s="377"/>
      <c r="H195" s="326" t="s">
        <v>515</v>
      </c>
      <c r="I195" s="342"/>
      <c r="J195" s="377"/>
      <c r="K195" s="326" t="s">
        <v>515</v>
      </c>
      <c r="L195" s="342"/>
      <c r="M195" s="377"/>
      <c r="N195" s="326" t="s">
        <v>515</v>
      </c>
      <c r="O195" s="342"/>
      <c r="P195" s="377"/>
      <c r="Q195" s="31"/>
      <c r="R195" s="31"/>
      <c r="S195" s="31"/>
      <c r="T195" s="31"/>
      <c r="U195" s="31"/>
      <c r="V195" s="31"/>
    </row>
    <row r="196" spans="1:25" ht="16.5" hidden="1" thickBot="1">
      <c r="A196" s="31"/>
      <c r="B196" s="384"/>
      <c r="C196" s="389"/>
      <c r="D196" s="389"/>
      <c r="E196" s="269">
        <v>502</v>
      </c>
      <c r="F196" s="409">
        <f>-(totalremdic25+F192+E153*1.07)*0.19</f>
        <v>-235864.58044881647</v>
      </c>
      <c r="G196" s="377"/>
      <c r="H196" s="269">
        <v>502</v>
      </c>
      <c r="I196" s="409">
        <f>-(totalremdic25+I192+H153*1.07)*0.19</f>
        <v>-231371.6220725209</v>
      </c>
      <c r="J196" s="377"/>
      <c r="K196" s="269">
        <v>502</v>
      </c>
      <c r="L196" s="409">
        <f>-(totalremdic25+L192+K153*1.07)*0.19</f>
        <v>-227634.98076923075</v>
      </c>
      <c r="M196" s="377"/>
      <c r="N196" s="269">
        <v>502</v>
      </c>
      <c r="O196" s="409">
        <f>-(totalremdic25+O192+N153*1.07)*0.19</f>
        <v>-227634.98076923075</v>
      </c>
      <c r="P196" s="377"/>
      <c r="Q196" s="31"/>
      <c r="R196" s="31"/>
      <c r="S196" s="31"/>
      <c r="T196" s="31"/>
      <c r="U196" s="31"/>
      <c r="V196" s="31"/>
    </row>
    <row r="197" spans="1:25" ht="16.5" hidden="1" thickBot="1">
      <c r="A197" s="31"/>
      <c r="B197" s="384"/>
      <c r="C197" s="389"/>
      <c r="D197" s="389"/>
      <c r="E197" s="269">
        <v>505</v>
      </c>
      <c r="F197" s="409">
        <f>-(totalremdic25+F192+E153*1.07)*0.03</f>
        <v>-37241.77586033944</v>
      </c>
      <c r="G197" s="377"/>
      <c r="H197" s="269">
        <v>505</v>
      </c>
      <c r="I197" s="409">
        <f>-(totalremdic25+I192+H153*1.07)*0.03</f>
        <v>-36532.36137987172</v>
      </c>
      <c r="J197" s="377"/>
      <c r="K197" s="269">
        <v>505</v>
      </c>
      <c r="L197" s="409">
        <f>-(totalremdic25+L192+K153*1.07)*0.03</f>
        <v>-35942.365384615376</v>
      </c>
      <c r="M197" s="377"/>
      <c r="N197" s="269">
        <v>505</v>
      </c>
      <c r="O197" s="409">
        <f>-(totalremdic25+O192+N153*1.07)*0.03</f>
        <v>-35942.365384615376</v>
      </c>
      <c r="P197" s="377"/>
      <c r="Q197" s="31"/>
      <c r="R197" s="31"/>
      <c r="S197" s="31"/>
      <c r="T197" s="31"/>
      <c r="U197" s="31"/>
      <c r="V197" s="31"/>
    </row>
    <row r="198" spans="1:25" ht="16.5" hidden="1" thickBot="1">
      <c r="A198" s="31"/>
      <c r="B198" s="384"/>
      <c r="C198" s="389"/>
      <c r="D198" s="389"/>
      <c r="E198" s="393"/>
      <c r="F198" s="393"/>
      <c r="G198" s="377"/>
      <c r="H198" s="393"/>
      <c r="I198" s="393"/>
      <c r="J198" s="377"/>
      <c r="K198" s="393"/>
      <c r="L198" s="393"/>
      <c r="M198" s="377"/>
      <c r="N198" s="393"/>
      <c r="O198" s="393"/>
      <c r="P198" s="377"/>
      <c r="Q198" s="31"/>
      <c r="R198" s="31"/>
      <c r="S198" s="31"/>
      <c r="T198" s="31"/>
      <c r="U198" s="31"/>
      <c r="V198" s="31"/>
    </row>
    <row r="199" spans="1:25" ht="18.75" hidden="1" thickBot="1">
      <c r="A199" s="31"/>
      <c r="B199" s="384"/>
      <c r="C199" s="389"/>
      <c r="D199" s="389"/>
      <c r="E199" s="374" t="s">
        <v>516</v>
      </c>
      <c r="F199" s="342"/>
      <c r="G199" s="377"/>
      <c r="H199" s="374" t="s">
        <v>516</v>
      </c>
      <c r="I199" s="342"/>
      <c r="J199" s="377"/>
      <c r="K199" s="374" t="s">
        <v>516</v>
      </c>
      <c r="L199" s="342"/>
      <c r="M199" s="377"/>
      <c r="N199" s="374" t="s">
        <v>516</v>
      </c>
      <c r="O199" s="342"/>
      <c r="P199" s="377"/>
      <c r="Q199" s="410"/>
      <c r="R199" s="31"/>
      <c r="S199" s="31"/>
      <c r="T199" s="31"/>
      <c r="U199" s="31"/>
      <c r="V199" s="31"/>
    </row>
    <row r="200" spans="1:25" ht="18.75" hidden="1" thickBot="1">
      <c r="A200" s="31"/>
      <c r="B200" s="384"/>
      <c r="C200" s="389"/>
      <c r="D200" s="389"/>
      <c r="E200" s="374"/>
      <c r="F200" s="392">
        <f>E164+F192+F193+F196+F197</f>
        <v>1192931.4094369977</v>
      </c>
      <c r="G200" s="377"/>
      <c r="H200" s="374"/>
      <c r="I200" s="392">
        <f>H164+I192+I193+I196+I197</f>
        <v>1103551.5873168383</v>
      </c>
      <c r="J200" s="377"/>
      <c r="K200" s="374"/>
      <c r="L200" s="392">
        <f>K164+L192+L193+L196+L197</f>
        <v>1061500.5</v>
      </c>
      <c r="M200" s="377"/>
      <c r="N200" s="374"/>
      <c r="O200" s="392">
        <f>N164+O192+O193+O196+O197</f>
        <v>998707.49999999988</v>
      </c>
      <c r="P200" s="377"/>
      <c r="Q200" s="410"/>
      <c r="R200" s="31"/>
      <c r="S200" s="31"/>
      <c r="T200" s="31"/>
      <c r="U200" s="31"/>
      <c r="V200" s="31"/>
    </row>
    <row r="201" spans="1:25" ht="18.75" hidden="1" thickBot="1">
      <c r="A201" s="31"/>
      <c r="B201" s="384"/>
      <c r="C201" s="389"/>
      <c r="D201" s="389"/>
      <c r="E201" s="411" t="s">
        <v>517</v>
      </c>
      <c r="F201" s="412"/>
      <c r="G201" s="377"/>
      <c r="H201" s="411" t="s">
        <v>517</v>
      </c>
      <c r="I201" s="412"/>
      <c r="J201" s="377"/>
      <c r="K201" s="411" t="s">
        <v>517</v>
      </c>
      <c r="L201" s="412"/>
      <c r="M201" s="377"/>
      <c r="N201" s="411" t="s">
        <v>517</v>
      </c>
      <c r="O201" s="412"/>
      <c r="P201" s="377"/>
      <c r="Q201" s="410"/>
      <c r="R201" s="31"/>
      <c r="S201" s="31"/>
      <c r="T201" s="31"/>
      <c r="U201" s="31"/>
      <c r="V201" s="31"/>
    </row>
    <row r="202" spans="1:25" ht="16.5" hidden="1" thickBot="1">
      <c r="A202" s="31"/>
      <c r="B202" s="384"/>
      <c r="C202" s="389"/>
      <c r="D202" s="389"/>
      <c r="E202" s="328"/>
      <c r="F202" s="413">
        <f>F200-F173+F169</f>
        <v>342931.40943699772</v>
      </c>
      <c r="G202" s="377"/>
      <c r="H202" s="328"/>
      <c r="I202" s="413">
        <f>I200-I173+I169</f>
        <v>327301.58731683833</v>
      </c>
      <c r="J202" s="377"/>
      <c r="K202" s="328"/>
      <c r="L202" s="413">
        <f>L200-L173+L169</f>
        <v>311500.5</v>
      </c>
      <c r="M202" s="377"/>
      <c r="N202" s="328"/>
      <c r="O202" s="413">
        <f>O200-O173+O169</f>
        <v>311500.49999999988</v>
      </c>
      <c r="P202" s="377"/>
      <c r="Q202" s="31"/>
      <c r="R202" s="31"/>
      <c r="S202" s="31"/>
      <c r="T202" s="31"/>
      <c r="U202" s="31"/>
      <c r="V202" s="31"/>
    </row>
    <row r="203" spans="1:25" ht="26.25" hidden="1" thickBot="1">
      <c r="A203" s="31"/>
      <c r="B203" s="328"/>
      <c r="C203" s="328"/>
      <c r="D203" s="328"/>
      <c r="E203" s="22"/>
      <c r="F203" s="23"/>
      <c r="G203" s="21"/>
      <c r="H203" s="22"/>
      <c r="I203" s="23"/>
      <c r="J203" s="21"/>
      <c r="K203" s="22"/>
      <c r="L203" s="23"/>
      <c r="M203" s="21"/>
      <c r="N203" s="22"/>
      <c r="O203" s="23"/>
      <c r="P203" s="21"/>
      <c r="Q203" s="414"/>
      <c r="R203" s="414"/>
      <c r="S203" s="31"/>
      <c r="T203" s="31"/>
      <c r="U203" s="31"/>
      <c r="V203" s="31"/>
    </row>
    <row r="204" spans="1:25" ht="15.75" thickBot="1">
      <c r="A204" s="158"/>
      <c r="B204" s="415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</row>
    <row r="205" spans="1:25">
      <c r="A205" s="31"/>
      <c r="B205" s="31"/>
      <c r="C205" s="31"/>
      <c r="D205" s="31"/>
      <c r="E205" s="416"/>
      <c r="F205" s="416"/>
      <c r="G205" s="417"/>
      <c r="H205" s="418"/>
      <c r="I205" s="821" t="str">
        <f>canthormed&amp;" horas med"</f>
        <v>36 horas med</v>
      </c>
      <c r="J205" s="420">
        <f>porantighormed</f>
        <v>1.2</v>
      </c>
      <c r="K205" s="421"/>
      <c r="L205" s="422"/>
      <c r="M205" s="422"/>
      <c r="N205" s="422"/>
      <c r="O205" s="422"/>
      <c r="P205" s="422"/>
      <c r="Q205" s="37"/>
      <c r="R205" s="37"/>
      <c r="S205" s="37"/>
    </row>
    <row r="206" spans="1:25" ht="15.75">
      <c r="A206" s="31"/>
      <c r="B206" s="31"/>
      <c r="C206" s="31"/>
      <c r="D206" s="31"/>
      <c r="E206" s="423"/>
      <c r="F206" s="423"/>
      <c r="G206" s="423"/>
      <c r="H206" s="424">
        <v>45992</v>
      </c>
      <c r="I206" s="425">
        <v>46054</v>
      </c>
      <c r="J206" s="425">
        <v>46143</v>
      </c>
      <c r="K206" s="192">
        <v>46204</v>
      </c>
      <c r="L206" s="192"/>
      <c r="M206" s="426"/>
      <c r="N206" s="426"/>
      <c r="O206" s="426"/>
      <c r="P206" s="426"/>
      <c r="Q206" s="426"/>
      <c r="R206" s="426"/>
      <c r="S206" s="426"/>
    </row>
    <row r="207" spans="1:25" ht="23.25">
      <c r="A207" s="31"/>
      <c r="B207" s="31"/>
      <c r="C207" s="427" t="s">
        <v>518</v>
      </c>
      <c r="D207" s="37"/>
      <c r="E207" s="428"/>
      <c r="F207" s="428"/>
      <c r="G207" s="428"/>
      <c r="H207" s="204">
        <f>N212</f>
        <v>1605573.9593262833</v>
      </c>
      <c r="I207" s="429">
        <f>K212</f>
        <v>1665573.9593262833</v>
      </c>
      <c r="J207" s="430">
        <f>H212</f>
        <v>1715668.2480968956</v>
      </c>
      <c r="K207" s="200">
        <f>E212</f>
        <v>1810132.8455398025</v>
      </c>
      <c r="L207" s="200"/>
      <c r="M207" s="431"/>
      <c r="N207" s="431"/>
      <c r="O207" s="431"/>
      <c r="P207" s="431"/>
      <c r="Q207" s="431"/>
      <c r="R207" s="431"/>
      <c r="S207" s="431"/>
    </row>
    <row r="208" spans="1:25">
      <c r="A208" s="31"/>
      <c r="B208" s="31"/>
      <c r="C208" s="31"/>
      <c r="D208" s="31"/>
      <c r="E208" s="432"/>
      <c r="F208" s="433"/>
      <c r="G208" s="432"/>
      <c r="H208" s="204" t="s">
        <v>454</v>
      </c>
      <c r="I208" s="205">
        <f t="shared" ref="I208:L208" si="69">I207-$H207</f>
        <v>60000</v>
      </c>
      <c r="J208" s="205">
        <f t="shared" si="69"/>
        <v>110094.28877061233</v>
      </c>
      <c r="K208" s="205">
        <f t="shared" si="69"/>
        <v>204558.88621351914</v>
      </c>
      <c r="L208" s="205"/>
      <c r="M208" s="206"/>
      <c r="N208" s="206"/>
      <c r="O208" s="206"/>
      <c r="P208" s="206"/>
      <c r="Q208" s="206"/>
      <c r="R208" s="206"/>
      <c r="S208" s="206"/>
    </row>
    <row r="209" spans="1:22" ht="15.75">
      <c r="A209" s="31"/>
      <c r="B209" s="872" t="s">
        <v>519</v>
      </c>
      <c r="C209" s="873"/>
      <c r="D209" s="434">
        <v>36</v>
      </c>
      <c r="E209" s="435"/>
      <c r="F209" s="436"/>
      <c r="G209" s="435"/>
      <c r="H209" s="208" t="s">
        <v>457</v>
      </c>
      <c r="I209" s="209">
        <f t="shared" ref="I209:L209" si="70">I208/$H207</f>
        <v>3.7369813860942708E-2</v>
      </c>
      <c r="J209" s="209">
        <f t="shared" si="70"/>
        <v>6.857005130851096E-2</v>
      </c>
      <c r="K209" s="209">
        <f t="shared" si="70"/>
        <v>0.12740545835668282</v>
      </c>
      <c r="L209" s="209"/>
      <c r="M209" s="210"/>
      <c r="N209" s="210"/>
      <c r="O209" s="210"/>
      <c r="P209" s="210"/>
      <c r="Q209" s="210"/>
      <c r="R209" s="210"/>
      <c r="S209" s="210"/>
    </row>
    <row r="210" spans="1:22" ht="16.5" thickBot="1">
      <c r="A210" s="31"/>
      <c r="B210" s="872" t="s">
        <v>520</v>
      </c>
      <c r="C210" s="873"/>
      <c r="D210" s="437">
        <v>24</v>
      </c>
      <c r="E210" s="438"/>
      <c r="F210" s="37"/>
      <c r="G210" s="439"/>
      <c r="H210" s="213" t="s">
        <v>458</v>
      </c>
      <c r="I210" s="214"/>
      <c r="J210" s="440"/>
      <c r="K210" s="441"/>
      <c r="L210" s="442"/>
      <c r="M210" s="442"/>
      <c r="N210" s="442"/>
      <c r="O210" s="442"/>
      <c r="P210" s="442"/>
      <c r="Q210" s="442"/>
      <c r="R210" s="442"/>
      <c r="S210" s="442"/>
    </row>
    <row r="211" spans="1:22" ht="24" thickBot="1">
      <c r="A211" s="31"/>
      <c r="B211" s="31"/>
      <c r="C211" s="31"/>
      <c r="D211" s="443">
        <f>LOOKUP(D210,D18:D29,E18:E29)</f>
        <v>1.2</v>
      </c>
      <c r="E211" s="444" t="s">
        <v>460</v>
      </c>
      <c r="F211" s="862" t="s">
        <v>564</v>
      </c>
      <c r="G211" s="445"/>
      <c r="H211" s="444" t="s">
        <v>460</v>
      </c>
      <c r="I211" s="862" t="s">
        <v>565</v>
      </c>
      <c r="J211" s="445"/>
      <c r="K211" s="444" t="s">
        <v>460</v>
      </c>
      <c r="L211" s="218"/>
      <c r="M211" s="445"/>
      <c r="N211" s="444" t="s">
        <v>460</v>
      </c>
      <c r="O211" s="218"/>
      <c r="P211" s="31"/>
      <c r="Q211" s="31"/>
      <c r="R211" s="31"/>
      <c r="S211" s="31"/>
      <c r="T211" s="31"/>
      <c r="U211" s="31"/>
      <c r="V211" s="31"/>
    </row>
    <row r="212" spans="1:22" ht="21" thickBot="1">
      <c r="A212" s="31"/>
      <c r="B212" s="446" t="s">
        <v>521</v>
      </c>
      <c r="C212" s="447"/>
      <c r="D212" s="448"/>
      <c r="E212" s="449">
        <f>F249</f>
        <v>1810132.8455398025</v>
      </c>
      <c r="F212" s="863">
        <f>E212/1531473</f>
        <v>1.1819554412907067</v>
      </c>
      <c r="G212" s="450"/>
      <c r="H212" s="449">
        <f>I249</f>
        <v>1715668.2480968956</v>
      </c>
      <c r="I212" s="863">
        <f>H212/1469768</f>
        <v>1.1673054850132101</v>
      </c>
      <c r="J212" s="450"/>
      <c r="K212" s="449">
        <f>L249</f>
        <v>1665573.9593262833</v>
      </c>
      <c r="L212" s="221"/>
      <c r="M212" s="450"/>
      <c r="N212" s="449">
        <f>O249</f>
        <v>1605573.9593262833</v>
      </c>
      <c r="O212" s="221"/>
      <c r="P212" s="31"/>
      <c r="Q212" s="31"/>
      <c r="R212" s="31"/>
      <c r="S212" s="31"/>
      <c r="T212" s="31"/>
      <c r="U212" s="31"/>
      <c r="V212" s="31"/>
    </row>
    <row r="213" spans="1:22" ht="16.5" thickTop="1">
      <c r="A213" s="31"/>
      <c r="B213" s="884" t="s">
        <v>522</v>
      </c>
      <c r="C213" s="866"/>
      <c r="D213" s="451">
        <v>36</v>
      </c>
      <c r="E213" s="223" t="s">
        <v>463</v>
      </c>
      <c r="F213" s="864"/>
      <c r="G213" s="453"/>
      <c r="H213" s="223" t="s">
        <v>463</v>
      </c>
      <c r="I213" s="864"/>
      <c r="J213" s="453"/>
      <c r="K213" s="223" t="s">
        <v>463</v>
      </c>
      <c r="L213" s="452"/>
      <c r="M213" s="453"/>
      <c r="N213" s="223" t="s">
        <v>463</v>
      </c>
      <c r="O213" s="452"/>
      <c r="P213" s="31"/>
      <c r="Q213" s="31"/>
      <c r="R213" s="31"/>
      <c r="S213" s="31"/>
      <c r="T213" s="31"/>
      <c r="U213" s="31"/>
      <c r="V213" s="31"/>
    </row>
    <row r="214" spans="1:22" ht="18">
      <c r="A214" s="31"/>
      <c r="B214" s="884" t="s">
        <v>523</v>
      </c>
      <c r="C214" s="866"/>
      <c r="D214" s="451">
        <v>30</v>
      </c>
      <c r="E214" s="228">
        <f>E212-E237-E238-E240</f>
        <v>1607696.8455398025</v>
      </c>
      <c r="F214" s="863">
        <f>E214/1531473</f>
        <v>1.0497715895349133</v>
      </c>
      <c r="G214" s="455"/>
      <c r="H214" s="228">
        <f>H212-H237-H238-H240</f>
        <v>1563256.2480968956</v>
      </c>
      <c r="I214" s="863">
        <f>H214/1469768</f>
        <v>1.0636074864175133</v>
      </c>
      <c r="J214" s="455"/>
      <c r="K214" s="228">
        <f>K212-K237-K238-K240</f>
        <v>1513161.9593262833</v>
      </c>
      <c r="L214" s="454"/>
      <c r="M214" s="455"/>
      <c r="N214" s="228">
        <f>N212-N237-N238-N240</f>
        <v>1477161.9593262833</v>
      </c>
      <c r="O214" s="454"/>
      <c r="P214" s="31"/>
      <c r="Q214" s="31"/>
      <c r="R214" s="31"/>
      <c r="S214" s="31"/>
      <c r="T214" s="31"/>
      <c r="U214" s="31"/>
      <c r="V214" s="31"/>
    </row>
    <row r="215" spans="1:22" ht="15.75">
      <c r="A215" s="31"/>
      <c r="B215" s="885" t="s">
        <v>524</v>
      </c>
      <c r="C215" s="866"/>
      <c r="D215" s="451">
        <v>1</v>
      </c>
      <c r="E215" s="456"/>
      <c r="F215" s="456"/>
      <c r="G215" s="456"/>
      <c r="H215" s="456"/>
      <c r="I215" s="456"/>
      <c r="J215" s="456"/>
      <c r="K215" s="456"/>
      <c r="L215" s="456"/>
      <c r="M215" s="456"/>
      <c r="N215" s="456"/>
      <c r="O215" s="31"/>
      <c r="P215" s="31"/>
      <c r="Q215" s="96"/>
      <c r="R215" s="31"/>
      <c r="S215" s="31"/>
      <c r="T215" s="31"/>
      <c r="U215" s="31"/>
      <c r="V215" s="31"/>
    </row>
    <row r="216" spans="1:22" ht="15.75">
      <c r="A216" s="31"/>
      <c r="B216" s="79" t="s">
        <v>525</v>
      </c>
      <c r="C216" s="37"/>
      <c r="D216" s="456">
        <v>15</v>
      </c>
      <c r="E216" s="456"/>
      <c r="F216" s="456"/>
      <c r="G216" s="456"/>
      <c r="H216" s="456"/>
      <c r="I216" s="456"/>
      <c r="J216" s="456"/>
      <c r="K216" s="456"/>
      <c r="L216" s="456"/>
      <c r="M216" s="456"/>
      <c r="N216" s="456"/>
      <c r="O216" s="31"/>
      <c r="P216" s="31"/>
      <c r="Q216" s="31"/>
      <c r="R216" s="31"/>
      <c r="S216" s="31"/>
      <c r="T216" s="31"/>
      <c r="U216" s="31"/>
      <c r="V216" s="31"/>
    </row>
    <row r="217" spans="1:22" ht="15.75">
      <c r="A217" s="31"/>
      <c r="B217" s="886" t="s">
        <v>526</v>
      </c>
      <c r="C217" s="887"/>
      <c r="D217" s="451">
        <v>0</v>
      </c>
      <c r="E217" s="456"/>
      <c r="F217" s="456"/>
      <c r="G217" s="457"/>
      <c r="H217" s="456"/>
      <c r="I217" s="456"/>
      <c r="J217" s="457"/>
      <c r="K217" s="456"/>
      <c r="L217" s="456"/>
      <c r="M217" s="457"/>
      <c r="N217" s="457"/>
      <c r="O217" s="31"/>
      <c r="P217" s="31"/>
      <c r="Q217" s="31"/>
      <c r="R217" s="31"/>
      <c r="S217" s="31"/>
      <c r="T217" s="31"/>
      <c r="U217" s="31"/>
      <c r="V217" s="31"/>
    </row>
    <row r="218" spans="1:22">
      <c r="A218" s="31"/>
      <c r="B218" s="31"/>
      <c r="C218" s="31"/>
      <c r="D218" s="458"/>
      <c r="E218" s="458"/>
      <c r="F218" s="458"/>
      <c r="G218" s="458"/>
      <c r="H218" s="458"/>
      <c r="I218" s="458"/>
      <c r="J218" s="458"/>
      <c r="K218" s="458"/>
      <c r="L218" s="458"/>
      <c r="M218" s="458"/>
      <c r="N218" s="458"/>
      <c r="O218" s="31"/>
      <c r="P218" s="31"/>
      <c r="Q218" s="31"/>
      <c r="R218" s="31"/>
      <c r="S218" s="31"/>
      <c r="T218" s="31"/>
      <c r="U218" s="31"/>
      <c r="V218" s="31"/>
    </row>
    <row r="219" spans="1:22" ht="18">
      <c r="A219" s="31"/>
      <c r="B219" s="888" t="s">
        <v>461</v>
      </c>
      <c r="C219" s="889"/>
      <c r="D219" s="459">
        <f>canthormed*64.73</f>
        <v>2330.2800000000002</v>
      </c>
      <c r="E219" s="460"/>
      <c r="F219" s="460"/>
      <c r="G219" s="460"/>
      <c r="H219" s="460"/>
      <c r="I219" s="460"/>
      <c r="J219" s="460"/>
      <c r="K219" s="460"/>
      <c r="L219" s="460"/>
      <c r="M219" s="460"/>
      <c r="N219" s="460"/>
      <c r="O219" s="31"/>
      <c r="P219" s="31"/>
      <c r="Q219" s="31"/>
      <c r="R219" s="31"/>
      <c r="S219" s="31"/>
      <c r="T219" s="31"/>
      <c r="U219" s="31"/>
      <c r="V219" s="31"/>
    </row>
    <row r="220" spans="1:22" ht="18">
      <c r="A220" s="31"/>
      <c r="B220" s="53"/>
      <c r="C220" s="54"/>
      <c r="D220" s="53"/>
      <c r="E220" s="823"/>
      <c r="F220" s="823"/>
      <c r="G220" s="823"/>
      <c r="H220" s="53"/>
      <c r="I220" s="53"/>
      <c r="J220" s="53"/>
      <c r="K220" s="53"/>
      <c r="L220" s="53"/>
      <c r="M220" s="53"/>
      <c r="N220" s="22"/>
      <c r="O220" s="31"/>
      <c r="P220" s="31"/>
      <c r="Q220" s="31"/>
      <c r="R220" s="31"/>
      <c r="S220" s="31"/>
      <c r="T220" s="31"/>
      <c r="U220" s="31"/>
      <c r="V220" s="31"/>
    </row>
    <row r="221" spans="1:22" ht="20.25">
      <c r="A221" s="31"/>
      <c r="B221" s="461"/>
      <c r="C221" s="31"/>
      <c r="D221" s="461"/>
      <c r="E221" s="812">
        <v>46204</v>
      </c>
      <c r="F221" s="813">
        <f>Aumentojulio26</f>
        <v>6.6049999999999942E-2</v>
      </c>
      <c r="G221" s="814"/>
      <c r="H221" s="812">
        <v>46143</v>
      </c>
      <c r="I221" s="813">
        <v>3.5000000000000003E-2</v>
      </c>
      <c r="J221" s="814"/>
      <c r="K221" s="812">
        <v>46054</v>
      </c>
      <c r="L221" s="813">
        <v>0</v>
      </c>
      <c r="M221" s="814"/>
      <c r="N221" s="812">
        <v>45992</v>
      </c>
      <c r="O221" s="23"/>
      <c r="P221" s="21"/>
      <c r="Q221" s="31"/>
      <c r="R221" s="31"/>
      <c r="S221" s="31"/>
      <c r="T221" s="31"/>
      <c r="U221" s="31"/>
      <c r="V221" s="31"/>
    </row>
    <row r="222" spans="1:22">
      <c r="A222" s="31"/>
      <c r="B222" s="462" t="s">
        <v>465</v>
      </c>
      <c r="C222" s="463" t="s">
        <v>466</v>
      </c>
      <c r="D222" s="464" t="s">
        <v>467</v>
      </c>
      <c r="E222" s="464"/>
      <c r="F222" s="464"/>
      <c r="G222" s="464"/>
      <c r="H222" s="464"/>
      <c r="I222" s="464"/>
      <c r="J222" s="464"/>
      <c r="K222" s="464"/>
      <c r="L222" s="464"/>
      <c r="M222" s="464"/>
      <c r="N222" s="464"/>
      <c r="O222" s="464"/>
      <c r="P222" s="464"/>
      <c r="Q222" s="31"/>
      <c r="R222" s="31"/>
      <c r="S222" s="31"/>
      <c r="T222" s="31"/>
      <c r="U222" s="31"/>
      <c r="V222" s="31"/>
    </row>
    <row r="223" spans="1:22">
      <c r="A223" s="31"/>
      <c r="B223" s="465">
        <v>4</v>
      </c>
      <c r="C223" s="466">
        <f>canthormed</f>
        <v>36</v>
      </c>
      <c r="D223" s="467" t="s">
        <v>527</v>
      </c>
      <c r="E223" s="468">
        <f t="shared" ref="E223:E232" si="71">E287</f>
        <v>655896.60384192003</v>
      </c>
      <c r="F223" s="469"/>
      <c r="G223" s="470"/>
      <c r="H223" s="468">
        <f t="shared" ref="H223:H232" si="72">H287</f>
        <v>636792.81926400005</v>
      </c>
      <c r="I223" s="469"/>
      <c r="J223" s="470"/>
      <c r="K223" s="468">
        <f t="shared" ref="K223:K232" si="73">K287</f>
        <v>615258.64407461567</v>
      </c>
      <c r="L223" s="469"/>
      <c r="M223" s="470"/>
      <c r="N223" s="468">
        <f t="shared" ref="N223:N232" si="74">N287</f>
        <v>615258.64407461567</v>
      </c>
      <c r="O223" s="469"/>
      <c r="P223" s="470"/>
      <c r="Q223" s="31"/>
      <c r="R223" s="31"/>
      <c r="S223" s="31"/>
      <c r="T223" s="31"/>
      <c r="U223" s="31"/>
      <c r="V223" s="31"/>
    </row>
    <row r="224" spans="1:22">
      <c r="A224" s="31"/>
      <c r="B224" s="471">
        <v>10</v>
      </c>
      <c r="C224" s="472">
        <f>porantighormed</f>
        <v>1.2</v>
      </c>
      <c r="D224" s="239" t="s">
        <v>477</v>
      </c>
      <c r="E224" s="473">
        <f t="shared" si="71"/>
        <v>817075.92461030406</v>
      </c>
      <c r="F224" s="474"/>
      <c r="G224" s="470"/>
      <c r="H224" s="473">
        <f t="shared" si="72"/>
        <v>794151.38311679999</v>
      </c>
      <c r="I224" s="474"/>
      <c r="J224" s="470"/>
      <c r="K224" s="473">
        <f t="shared" si="73"/>
        <v>768310.37288953876</v>
      </c>
      <c r="L224" s="474"/>
      <c r="M224" s="470"/>
      <c r="N224" s="473">
        <f t="shared" si="74"/>
        <v>768310.37288953876</v>
      </c>
      <c r="O224" s="474"/>
      <c r="P224" s="470"/>
      <c r="Q224" s="31"/>
      <c r="R224" s="31"/>
      <c r="S224" s="31"/>
      <c r="T224" s="31"/>
      <c r="U224" s="31"/>
      <c r="V224" s="31"/>
    </row>
    <row r="225" spans="1:22" ht="15.75">
      <c r="A225" s="31"/>
      <c r="B225" s="465">
        <v>6</v>
      </c>
      <c r="C225" s="475">
        <f>C289</f>
        <v>36</v>
      </c>
      <c r="D225" s="467" t="s">
        <v>476</v>
      </c>
      <c r="E225" s="468">
        <f t="shared" si="71"/>
        <v>163931.92403399997</v>
      </c>
      <c r="F225" s="469"/>
      <c r="G225" s="470"/>
      <c r="H225" s="468">
        <f t="shared" si="72"/>
        <v>159157.20779999997</v>
      </c>
      <c r="I225" s="469"/>
      <c r="J225" s="470"/>
      <c r="K225" s="468">
        <f t="shared" si="73"/>
        <v>153775.07999999999</v>
      </c>
      <c r="L225" s="469"/>
      <c r="M225" s="470"/>
      <c r="N225" s="468">
        <f t="shared" si="74"/>
        <v>153775.07999999999</v>
      </c>
      <c r="O225" s="469"/>
      <c r="P225" s="470"/>
      <c r="Q225" s="31"/>
      <c r="R225" s="31"/>
      <c r="S225" s="31"/>
      <c r="T225" s="31"/>
      <c r="U225" s="31"/>
      <c r="V225" s="31"/>
    </row>
    <row r="226" spans="1:22">
      <c r="A226" s="31"/>
      <c r="B226" s="471">
        <v>14</v>
      </c>
      <c r="C226" s="472">
        <v>7.0000000000000007E-2</v>
      </c>
      <c r="D226" s="239" t="s">
        <v>528</v>
      </c>
      <c r="E226" s="473">
        <f t="shared" si="71"/>
        <v>11475.234682379998</v>
      </c>
      <c r="F226" s="474"/>
      <c r="G226" s="470"/>
      <c r="H226" s="473">
        <f t="shared" si="72"/>
        <v>11141.004546</v>
      </c>
      <c r="I226" s="474"/>
      <c r="J226" s="470"/>
      <c r="K226" s="473">
        <f t="shared" si="73"/>
        <v>10764.2556</v>
      </c>
      <c r="L226" s="474"/>
      <c r="M226" s="470"/>
      <c r="N226" s="473">
        <f t="shared" si="74"/>
        <v>10764.2556</v>
      </c>
      <c r="O226" s="474"/>
      <c r="P226" s="470"/>
      <c r="Q226" s="31"/>
      <c r="R226" s="31"/>
      <c r="S226" s="31"/>
      <c r="T226" s="31"/>
      <c r="U226" s="31"/>
      <c r="V226" s="31"/>
    </row>
    <row r="227" spans="1:22" ht="15.75">
      <c r="A227" s="31"/>
      <c r="B227" s="465">
        <v>18</v>
      </c>
      <c r="C227" s="475">
        <f>C291</f>
        <v>18</v>
      </c>
      <c r="D227" s="476" t="s">
        <v>529</v>
      </c>
      <c r="E227" s="468">
        <f t="shared" si="71"/>
        <v>65273.175449999995</v>
      </c>
      <c r="F227" s="469"/>
      <c r="G227" s="470"/>
      <c r="H227" s="468">
        <f t="shared" si="72"/>
        <v>63372.014999999992</v>
      </c>
      <c r="I227" s="469"/>
      <c r="J227" s="470"/>
      <c r="K227" s="468">
        <f t="shared" si="73"/>
        <v>61229</v>
      </c>
      <c r="L227" s="469"/>
      <c r="M227" s="470"/>
      <c r="N227" s="468">
        <f t="shared" si="74"/>
        <v>61229</v>
      </c>
      <c r="O227" s="469"/>
      <c r="P227" s="470"/>
      <c r="Q227" s="31"/>
      <c r="R227" s="31"/>
      <c r="S227" s="31"/>
      <c r="T227" s="31"/>
      <c r="U227" s="31"/>
      <c r="V227" s="31"/>
    </row>
    <row r="228" spans="1:22">
      <c r="A228" s="31"/>
      <c r="B228" s="471">
        <v>188</v>
      </c>
      <c r="C228" s="472">
        <v>7.0000000000000007E-2</v>
      </c>
      <c r="D228" s="239" t="s">
        <v>479</v>
      </c>
      <c r="E228" s="473">
        <f t="shared" si="71"/>
        <v>120346.9306516557</v>
      </c>
      <c r="F228" s="474"/>
      <c r="G228" s="470"/>
      <c r="H228" s="473">
        <f t="shared" si="72"/>
        <v>116953.81616665603</v>
      </c>
      <c r="I228" s="474"/>
      <c r="J228" s="470"/>
      <c r="K228" s="473">
        <f t="shared" si="73"/>
        <v>113129.03118749081</v>
      </c>
      <c r="L228" s="474"/>
      <c r="M228" s="470"/>
      <c r="N228" s="473">
        <f t="shared" si="74"/>
        <v>113129.03118749081</v>
      </c>
      <c r="O228" s="474"/>
      <c r="P228" s="470"/>
      <c r="Q228" s="31"/>
      <c r="R228" s="31"/>
      <c r="S228" s="31"/>
      <c r="T228" s="31"/>
      <c r="U228" s="31"/>
      <c r="V228" s="31"/>
    </row>
    <row r="229" spans="1:22">
      <c r="A229" s="31"/>
      <c r="B229" s="477">
        <v>78</v>
      </c>
      <c r="C229" s="478">
        <v>0</v>
      </c>
      <c r="D229" s="236" t="s">
        <v>482</v>
      </c>
      <c r="E229" s="468">
        <f t="shared" si="71"/>
        <v>0</v>
      </c>
      <c r="F229" s="469"/>
      <c r="G229" s="470"/>
      <c r="H229" s="468">
        <f t="shared" si="72"/>
        <v>0</v>
      </c>
      <c r="I229" s="469"/>
      <c r="J229" s="470"/>
      <c r="K229" s="468">
        <f t="shared" si="73"/>
        <v>0</v>
      </c>
      <c r="L229" s="469"/>
      <c r="M229" s="470"/>
      <c r="N229" s="468">
        <f t="shared" si="74"/>
        <v>0</v>
      </c>
      <c r="O229" s="469"/>
      <c r="P229" s="470"/>
      <c r="Q229" s="31"/>
      <c r="R229" s="31"/>
      <c r="S229" s="31"/>
      <c r="T229" s="31"/>
      <c r="U229" s="31"/>
      <c r="V229" s="31"/>
    </row>
    <row r="230" spans="1:22" ht="15.75">
      <c r="A230" s="31"/>
      <c r="B230" s="471">
        <v>29</v>
      </c>
      <c r="C230" s="479">
        <f>C294</f>
        <v>0</v>
      </c>
      <c r="D230" s="239" t="s">
        <v>486</v>
      </c>
      <c r="E230" s="473">
        <f t="shared" si="71"/>
        <v>0</v>
      </c>
      <c r="F230" s="480" t="s">
        <v>530</v>
      </c>
      <c r="G230" s="470"/>
      <c r="H230" s="473">
        <f t="shared" si="72"/>
        <v>0</v>
      </c>
      <c r="I230" s="480" t="s">
        <v>530</v>
      </c>
      <c r="J230" s="470"/>
      <c r="K230" s="473">
        <f t="shared" si="73"/>
        <v>0</v>
      </c>
      <c r="L230" s="480" t="s">
        <v>530</v>
      </c>
      <c r="M230" s="470"/>
      <c r="N230" s="473">
        <f t="shared" si="74"/>
        <v>0</v>
      </c>
      <c r="O230" s="480" t="s">
        <v>530</v>
      </c>
      <c r="P230" s="470"/>
      <c r="Q230" s="31"/>
      <c r="R230" s="31"/>
      <c r="S230" s="31"/>
      <c r="T230" s="31"/>
      <c r="U230" s="31"/>
      <c r="V230" s="31"/>
    </row>
    <row r="231" spans="1:22" ht="15.75">
      <c r="A231" s="31"/>
      <c r="B231" s="465">
        <v>117</v>
      </c>
      <c r="C231" s="481"/>
      <c r="D231" s="467" t="s">
        <v>484</v>
      </c>
      <c r="E231" s="468">
        <f t="shared" si="71"/>
        <v>46102.398300000001</v>
      </c>
      <c r="F231" s="482"/>
      <c r="G231" s="470"/>
      <c r="H231" s="468">
        <f t="shared" si="72"/>
        <v>44759.609999999993</v>
      </c>
      <c r="I231" s="482"/>
      <c r="J231" s="470"/>
      <c r="K231" s="468">
        <f t="shared" si="73"/>
        <v>43246</v>
      </c>
      <c r="L231" s="482"/>
      <c r="M231" s="470"/>
      <c r="N231" s="468">
        <f t="shared" si="74"/>
        <v>43246</v>
      </c>
      <c r="O231" s="482"/>
      <c r="P231" s="470"/>
      <c r="Q231" s="31"/>
      <c r="R231" s="31"/>
      <c r="S231" s="31"/>
      <c r="T231" s="31"/>
      <c r="U231" s="31"/>
      <c r="V231" s="31"/>
    </row>
    <row r="232" spans="1:22" ht="16.5" thickBot="1">
      <c r="A232" s="31"/>
      <c r="B232" s="483">
        <v>38</v>
      </c>
      <c r="C232" s="484">
        <f>D216</f>
        <v>15</v>
      </c>
      <c r="D232" s="485" t="s">
        <v>531</v>
      </c>
      <c r="E232" s="473">
        <f t="shared" si="71"/>
        <v>109893.76424999999</v>
      </c>
      <c r="F232" s="474"/>
      <c r="G232" s="470"/>
      <c r="H232" s="473">
        <f t="shared" si="72"/>
        <v>106692.97499999999</v>
      </c>
      <c r="I232" s="474"/>
      <c r="J232" s="470"/>
      <c r="K232" s="473">
        <f t="shared" si="73"/>
        <v>103085</v>
      </c>
      <c r="L232" s="474"/>
      <c r="M232" s="470"/>
      <c r="N232" s="473">
        <f t="shared" si="74"/>
        <v>103085</v>
      </c>
      <c r="O232" s="474"/>
      <c r="P232" s="470"/>
      <c r="Q232" s="31"/>
      <c r="R232" s="31"/>
      <c r="S232" s="31"/>
      <c r="T232" s="31"/>
      <c r="U232" s="31"/>
      <c r="V232" s="31"/>
    </row>
    <row r="233" spans="1:22" ht="16.5" thickBot="1">
      <c r="A233" s="31"/>
      <c r="B233" s="362">
        <v>25</v>
      </c>
      <c r="C233" s="486">
        <v>1</v>
      </c>
      <c r="D233" s="363" t="s">
        <v>485</v>
      </c>
      <c r="E233" s="487">
        <f>E297</f>
        <v>25000</v>
      </c>
      <c r="F233" s="474"/>
      <c r="G233" s="470"/>
      <c r="H233" s="487">
        <f>H297</f>
        <v>25000</v>
      </c>
      <c r="I233" s="474"/>
      <c r="J233" s="470"/>
      <c r="K233" s="487">
        <f>K297</f>
        <v>25000</v>
      </c>
      <c r="L233" s="474"/>
      <c r="M233" s="470"/>
      <c r="N233" s="487">
        <f>N297</f>
        <v>25000</v>
      </c>
      <c r="O233" s="474"/>
      <c r="P233" s="470"/>
      <c r="Q233" s="31"/>
      <c r="R233" s="31"/>
      <c r="S233" s="31"/>
      <c r="T233" s="31"/>
      <c r="U233" s="31"/>
      <c r="V233" s="31"/>
    </row>
    <row r="234" spans="1:22" ht="15.75">
      <c r="A234" s="31"/>
      <c r="B234" s="483"/>
      <c r="C234" s="484"/>
      <c r="D234" s="485"/>
      <c r="E234" s="473"/>
      <c r="F234" s="474"/>
      <c r="G234" s="470"/>
      <c r="H234" s="473"/>
      <c r="I234" s="474"/>
      <c r="J234" s="470"/>
      <c r="K234" s="473"/>
      <c r="L234" s="474"/>
      <c r="M234" s="470"/>
      <c r="N234" s="473"/>
      <c r="O234" s="474"/>
      <c r="P234" s="470"/>
      <c r="Q234" s="31"/>
      <c r="R234" s="31"/>
      <c r="S234" s="31"/>
      <c r="T234" s="31"/>
      <c r="U234" s="31"/>
      <c r="V234" s="31"/>
    </row>
    <row r="235" spans="1:22" ht="15.75">
      <c r="A235" s="31"/>
      <c r="B235" s="477"/>
      <c r="C235" s="488"/>
      <c r="D235" s="273" t="s">
        <v>532</v>
      </c>
      <c r="E235" s="489">
        <f>E298</f>
        <v>2014995.9558202596</v>
      </c>
      <c r="F235" s="469"/>
      <c r="G235" s="470"/>
      <c r="H235" s="489">
        <f>H298</f>
        <v>1958020.8308934562</v>
      </c>
      <c r="I235" s="469"/>
      <c r="J235" s="470"/>
      <c r="K235" s="489">
        <f>K298</f>
        <v>1893797.3837516452</v>
      </c>
      <c r="L235" s="469"/>
      <c r="M235" s="470"/>
      <c r="N235" s="489">
        <f>N298</f>
        <v>1893797.3837516452</v>
      </c>
      <c r="O235" s="469"/>
      <c r="P235" s="470"/>
      <c r="Q235" s="31"/>
      <c r="R235" s="31"/>
      <c r="S235" s="31"/>
      <c r="T235" s="31"/>
      <c r="U235" s="31"/>
      <c r="V235" s="31"/>
    </row>
    <row r="236" spans="1:22">
      <c r="A236" s="31"/>
      <c r="B236" s="490" t="s">
        <v>533</v>
      </c>
      <c r="C236" s="262"/>
      <c r="D236" s="263"/>
      <c r="E236" s="491">
        <v>0</v>
      </c>
      <c r="F236" s="474"/>
      <c r="G236" s="470"/>
      <c r="H236" s="491">
        <v>0</v>
      </c>
      <c r="I236" s="474"/>
      <c r="J236" s="470"/>
      <c r="K236" s="491">
        <v>0</v>
      </c>
      <c r="L236" s="474"/>
      <c r="M236" s="470"/>
      <c r="N236" s="491">
        <v>0</v>
      </c>
      <c r="O236" s="474"/>
      <c r="P236" s="470"/>
      <c r="Q236" s="31"/>
      <c r="R236" s="31"/>
      <c r="S236" s="31"/>
      <c r="T236" s="31"/>
      <c r="U236" s="31"/>
      <c r="V236" s="31"/>
    </row>
    <row r="237" spans="1:22" ht="15.75">
      <c r="A237" s="31"/>
      <c r="B237" s="851">
        <v>184</v>
      </c>
      <c r="C237" s="492">
        <f>C300</f>
        <v>29.999999999999996</v>
      </c>
      <c r="D237" s="236" t="s">
        <v>490</v>
      </c>
      <c r="E237" s="493">
        <f>E300</f>
        <v>102139</v>
      </c>
      <c r="F237" s="469"/>
      <c r="G237" s="470"/>
      <c r="H237" s="493">
        <f>H300</f>
        <v>73504.799999999988</v>
      </c>
      <c r="I237" s="469"/>
      <c r="J237" s="470"/>
      <c r="K237" s="468">
        <f>K300</f>
        <v>73504.799999999988</v>
      </c>
      <c r="L237" s="469"/>
      <c r="M237" s="470"/>
      <c r="N237" s="468">
        <f t="shared" ref="N237:N238" si="75">N300</f>
        <v>73504.799999999988</v>
      </c>
      <c r="O237" s="469"/>
      <c r="P237" s="470"/>
      <c r="Q237" s="31"/>
      <c r="R237" s="31"/>
      <c r="S237" s="31"/>
      <c r="T237" s="31"/>
      <c r="U237" s="31"/>
      <c r="V237" s="31"/>
    </row>
    <row r="238" spans="1:22" ht="15.75">
      <c r="A238" s="31"/>
      <c r="B238" s="851">
        <v>204</v>
      </c>
      <c r="C238" s="492">
        <f>C301</f>
        <v>30</v>
      </c>
      <c r="D238" s="236" t="s">
        <v>491</v>
      </c>
      <c r="E238" s="493">
        <f>E301</f>
        <v>76297</v>
      </c>
      <c r="F238" s="849" t="s">
        <v>554</v>
      </c>
      <c r="G238" s="470"/>
      <c r="H238" s="493">
        <f>H301</f>
        <v>54907.199999999997</v>
      </c>
      <c r="I238" s="849" t="s">
        <v>554</v>
      </c>
      <c r="J238" s="470"/>
      <c r="K238" s="468">
        <f>K301</f>
        <v>54907.199999999997</v>
      </c>
      <c r="L238" s="469"/>
      <c r="M238" s="470"/>
      <c r="N238" s="468">
        <f t="shared" si="75"/>
        <v>54907.199999999997</v>
      </c>
      <c r="O238" s="469"/>
      <c r="P238" s="470"/>
      <c r="Q238" s="31"/>
      <c r="R238" s="31"/>
      <c r="S238" s="31"/>
      <c r="T238" s="31"/>
      <c r="U238" s="31"/>
      <c r="V238" s="31"/>
    </row>
    <row r="239" spans="1:22" ht="15.75">
      <c r="A239" s="31"/>
      <c r="B239" s="844">
        <v>234</v>
      </c>
      <c r="C239" s="845">
        <f t="shared" ref="C239:K241" si="76">C302</f>
        <v>15</v>
      </c>
      <c r="D239" s="846" t="str">
        <f t="shared" si="76"/>
        <v>FOPID ART 2 DTO 500</v>
      </c>
      <c r="E239" s="493">
        <f t="shared" si="76"/>
        <v>36000</v>
      </c>
      <c r="F239" s="850">
        <f>SUM(E237:E240)</f>
        <v>238436</v>
      </c>
      <c r="G239" s="470"/>
      <c r="H239" s="493">
        <f t="shared" ref="H239:H241" si="77">H302</f>
        <v>36000</v>
      </c>
      <c r="I239" s="850">
        <f>SUM(H237:H240)</f>
        <v>188412</v>
      </c>
      <c r="J239" s="470"/>
      <c r="K239" s="493">
        <f t="shared" si="76"/>
        <v>36000</v>
      </c>
      <c r="L239" s="469"/>
      <c r="M239" s="470"/>
      <c r="N239" s="468"/>
      <c r="O239" s="469"/>
      <c r="P239" s="470"/>
      <c r="Q239" s="31"/>
      <c r="R239" s="31"/>
      <c r="S239" s="31"/>
      <c r="T239" s="31"/>
      <c r="U239" s="31"/>
      <c r="V239" s="31"/>
    </row>
    <row r="240" spans="1:22" ht="15.75">
      <c r="A240" s="31"/>
      <c r="B240" s="844">
        <v>244</v>
      </c>
      <c r="C240" s="847">
        <f t="shared" si="76"/>
        <v>15</v>
      </c>
      <c r="D240" s="848" t="str">
        <f t="shared" si="76"/>
        <v>Conectividad Art2 Dto 500</v>
      </c>
      <c r="E240" s="493">
        <f t="shared" si="76"/>
        <v>24000</v>
      </c>
      <c r="F240" s="840">
        <f>F239/F249</f>
        <v>0.1317229288377979</v>
      </c>
      <c r="G240" s="470"/>
      <c r="H240" s="493">
        <f t="shared" si="77"/>
        <v>24000</v>
      </c>
      <c r="I240" s="840">
        <f>I239/I249</f>
        <v>0.10981843384290403</v>
      </c>
      <c r="J240" s="470"/>
      <c r="K240" s="493">
        <f t="shared" si="76"/>
        <v>24000</v>
      </c>
      <c r="L240" s="469"/>
      <c r="M240" s="470"/>
      <c r="N240" s="494"/>
      <c r="O240" s="469"/>
      <c r="P240" s="470"/>
      <c r="Q240" s="31"/>
      <c r="R240" s="31"/>
      <c r="S240" s="31"/>
      <c r="T240" s="31"/>
      <c r="U240" s="31"/>
      <c r="V240" s="31"/>
    </row>
    <row r="241" spans="1:22">
      <c r="A241" s="31"/>
      <c r="B241" s="471"/>
      <c r="C241" s="495"/>
      <c r="D241" s="265" t="s">
        <v>534</v>
      </c>
      <c r="E241" s="496">
        <f t="shared" si="76"/>
        <v>2253431.9558202596</v>
      </c>
      <c r="F241" s="474"/>
      <c r="G241" s="470"/>
      <c r="H241" s="496">
        <f t="shared" si="77"/>
        <v>2146432.830893456</v>
      </c>
      <c r="I241" s="474"/>
      <c r="J241" s="470"/>
      <c r="K241" s="496">
        <f t="shared" si="76"/>
        <v>2082209.3837516452</v>
      </c>
      <c r="L241" s="474"/>
      <c r="M241" s="470"/>
      <c r="N241" s="496">
        <f t="shared" ref="N241" si="78">N304</f>
        <v>2022209.3837516452</v>
      </c>
      <c r="O241" s="474"/>
      <c r="P241" s="470"/>
      <c r="Q241" s="31"/>
      <c r="R241" s="31"/>
      <c r="S241" s="31"/>
      <c r="T241" s="31"/>
      <c r="U241" s="31"/>
      <c r="V241" s="31"/>
    </row>
    <row r="242" spans="1:22">
      <c r="A242" s="31"/>
      <c r="B242" s="477">
        <v>440</v>
      </c>
      <c r="C242" s="497"/>
      <c r="D242" s="236" t="s">
        <v>493</v>
      </c>
      <c r="E242" s="498">
        <v>0</v>
      </c>
      <c r="F242" s="499">
        <f t="shared" ref="F242:F247" si="79">F305</f>
        <v>0</v>
      </c>
      <c r="G242" s="470"/>
      <c r="H242" s="498">
        <v>0</v>
      </c>
      <c r="I242" s="499">
        <f t="shared" ref="I242:I247" si="80">I305</f>
        <v>0</v>
      </c>
      <c r="J242" s="470"/>
      <c r="K242" s="498">
        <v>0</v>
      </c>
      <c r="L242" s="499">
        <f t="shared" ref="L242:L247" si="81">L305</f>
        <v>0</v>
      </c>
      <c r="M242" s="470"/>
      <c r="N242" s="498">
        <v>0</v>
      </c>
      <c r="O242" s="499">
        <f t="shared" ref="O242:O247" si="82">O305</f>
        <v>0</v>
      </c>
      <c r="P242" s="470"/>
      <c r="Q242" s="31"/>
      <c r="R242" s="31"/>
      <c r="S242" s="31"/>
      <c r="T242" s="31"/>
      <c r="U242" s="31"/>
      <c r="V242" s="31"/>
    </row>
    <row r="243" spans="1:22">
      <c r="A243" s="31"/>
      <c r="B243" s="471">
        <v>502</v>
      </c>
      <c r="C243" s="276" t="s">
        <v>494</v>
      </c>
      <c r="D243" s="500" t="s">
        <v>535</v>
      </c>
      <c r="E243" s="473"/>
      <c r="F243" s="501">
        <f t="shared" si="79"/>
        <v>-382849.23160584935</v>
      </c>
      <c r="G243" s="470"/>
      <c r="H243" s="473"/>
      <c r="I243" s="501">
        <f t="shared" si="80"/>
        <v>-372023.95786975668</v>
      </c>
      <c r="J243" s="470"/>
      <c r="K243" s="473"/>
      <c r="L243" s="501">
        <f t="shared" si="81"/>
        <v>-359821.50291281258</v>
      </c>
      <c r="M243" s="470"/>
      <c r="N243" s="473"/>
      <c r="O243" s="501">
        <f t="shared" si="82"/>
        <v>-359821.50291281258</v>
      </c>
      <c r="P243" s="470"/>
      <c r="Q243" s="31"/>
      <c r="R243" s="31"/>
      <c r="S243" s="31"/>
      <c r="T243" s="31"/>
      <c r="U243" s="31"/>
      <c r="V243" s="31"/>
    </row>
    <row r="244" spans="1:22">
      <c r="A244" s="31"/>
      <c r="B244" s="471">
        <v>505</v>
      </c>
      <c r="C244" s="471">
        <v>0.03</v>
      </c>
      <c r="D244" s="500" t="s">
        <v>536</v>
      </c>
      <c r="E244" s="473"/>
      <c r="F244" s="501">
        <f t="shared" si="79"/>
        <v>-60449.878674607789</v>
      </c>
      <c r="G244" s="470"/>
      <c r="H244" s="473"/>
      <c r="I244" s="501">
        <f t="shared" si="80"/>
        <v>-58740.624926803685</v>
      </c>
      <c r="J244" s="470"/>
      <c r="K244" s="473"/>
      <c r="L244" s="501">
        <f t="shared" si="81"/>
        <v>-56813.921512549357</v>
      </c>
      <c r="M244" s="470"/>
      <c r="N244" s="473"/>
      <c r="O244" s="501">
        <f t="shared" si="82"/>
        <v>-56813.921512549357</v>
      </c>
      <c r="P244" s="470"/>
      <c r="Q244" s="31"/>
      <c r="R244" s="31"/>
      <c r="S244" s="31"/>
      <c r="T244" s="31"/>
      <c r="U244" s="31"/>
      <c r="V244" s="31"/>
    </row>
    <row r="245" spans="1:22">
      <c r="A245" s="31"/>
      <c r="B245" s="502">
        <v>332</v>
      </c>
      <c r="C245" s="503">
        <v>0</v>
      </c>
      <c r="D245" s="504" t="s">
        <v>498</v>
      </c>
      <c r="E245" s="468"/>
      <c r="F245" s="499">
        <f t="shared" si="79"/>
        <v>0</v>
      </c>
      <c r="G245" s="470"/>
      <c r="H245" s="468"/>
      <c r="I245" s="499">
        <f t="shared" si="80"/>
        <v>0</v>
      </c>
      <c r="J245" s="470"/>
      <c r="K245" s="468"/>
      <c r="L245" s="499">
        <f t="shared" si="81"/>
        <v>0</v>
      </c>
      <c r="M245" s="470"/>
      <c r="N245" s="468"/>
      <c r="O245" s="499">
        <f t="shared" si="82"/>
        <v>0</v>
      </c>
      <c r="P245" s="470"/>
      <c r="Q245" s="31"/>
      <c r="R245" s="31"/>
      <c r="S245" s="31"/>
      <c r="T245" s="31"/>
      <c r="U245" s="31"/>
      <c r="V245" s="31"/>
    </row>
    <row r="246" spans="1:22">
      <c r="A246" s="31"/>
      <c r="B246" s="505" t="s">
        <v>499</v>
      </c>
      <c r="C246" s="506">
        <v>0</v>
      </c>
      <c r="D246" s="507"/>
      <c r="E246" s="508"/>
      <c r="F246" s="509">
        <f t="shared" si="79"/>
        <v>0</v>
      </c>
      <c r="G246" s="470"/>
      <c r="H246" s="508"/>
      <c r="I246" s="509">
        <f t="shared" si="80"/>
        <v>0</v>
      </c>
      <c r="J246" s="470"/>
      <c r="K246" s="508"/>
      <c r="L246" s="509">
        <f t="shared" si="81"/>
        <v>0</v>
      </c>
      <c r="M246" s="470"/>
      <c r="N246" s="508"/>
      <c r="O246" s="509">
        <f t="shared" si="82"/>
        <v>0</v>
      </c>
      <c r="P246" s="470"/>
      <c r="Q246" s="31"/>
      <c r="R246" s="31"/>
      <c r="S246" s="31"/>
      <c r="T246" s="31"/>
      <c r="U246" s="31"/>
      <c r="V246" s="31"/>
    </row>
    <row r="247" spans="1:22">
      <c r="A247" s="31"/>
      <c r="B247" s="510"/>
      <c r="C247" s="511"/>
      <c r="D247" s="512" t="s">
        <v>500</v>
      </c>
      <c r="E247" s="513"/>
      <c r="F247" s="514">
        <f t="shared" si="79"/>
        <v>-443299.11028045713</v>
      </c>
      <c r="G247" s="470"/>
      <c r="H247" s="513"/>
      <c r="I247" s="514">
        <f t="shared" si="80"/>
        <v>-430764.58279656037</v>
      </c>
      <c r="J247" s="470"/>
      <c r="K247" s="513"/>
      <c r="L247" s="514">
        <f t="shared" si="81"/>
        <v>-416635.42442536191</v>
      </c>
      <c r="M247" s="470"/>
      <c r="N247" s="513"/>
      <c r="O247" s="514">
        <f t="shared" si="82"/>
        <v>-416635.42442536191</v>
      </c>
      <c r="P247" s="470"/>
      <c r="Q247" s="31"/>
      <c r="R247" s="31"/>
      <c r="S247" s="31"/>
      <c r="T247" s="31"/>
      <c r="U247" s="31"/>
      <c r="V247" s="31"/>
    </row>
    <row r="248" spans="1:22">
      <c r="A248" s="31"/>
      <c r="B248" s="515"/>
      <c r="C248" s="285"/>
      <c r="D248" s="31"/>
      <c r="E248" s="513"/>
      <c r="F248" s="513"/>
      <c r="G248" s="286"/>
      <c r="H248" s="513"/>
      <c r="I248" s="513"/>
      <c r="J248" s="286"/>
      <c r="K248" s="513"/>
      <c r="L248" s="513"/>
      <c r="M248" s="286"/>
      <c r="N248" s="513"/>
      <c r="O248" s="513"/>
      <c r="P248" s="286"/>
      <c r="Q248" s="31"/>
      <c r="R248" s="31"/>
      <c r="S248" s="31"/>
      <c r="T248" s="31"/>
      <c r="U248" s="31"/>
      <c r="V248" s="31"/>
    </row>
    <row r="249" spans="1:22" ht="19.5">
      <c r="A249" s="287"/>
      <c r="B249" s="516"/>
      <c r="C249" s="287"/>
      <c r="D249" s="517"/>
      <c r="E249" s="518" t="str">
        <f>E312</f>
        <v>Sueldo líquido</v>
      </c>
      <c r="F249" s="519">
        <f>F312</f>
        <v>1810132.8455398025</v>
      </c>
      <c r="G249" s="520"/>
      <c r="H249" s="518" t="str">
        <f>H312</f>
        <v>Sueldo líquido</v>
      </c>
      <c r="I249" s="519">
        <f>I312</f>
        <v>1715668.2480968956</v>
      </c>
      <c r="J249" s="520"/>
      <c r="K249" s="518" t="str">
        <f>K312</f>
        <v>Sueldo líquido</v>
      </c>
      <c r="L249" s="519">
        <f>L312</f>
        <v>1665573.9593262833</v>
      </c>
      <c r="M249" s="520"/>
      <c r="N249" s="518" t="str">
        <f>N312</f>
        <v>Sueldo líquido</v>
      </c>
      <c r="O249" s="519">
        <f>O312</f>
        <v>1605573.9593262833</v>
      </c>
      <c r="P249" s="520"/>
      <c r="Q249" s="287"/>
      <c r="R249" s="287"/>
      <c r="S249" s="287"/>
      <c r="T249" s="287"/>
      <c r="U249" s="287"/>
      <c r="V249" s="287"/>
    </row>
    <row r="250" spans="1:22" ht="15.75">
      <c r="A250" s="31"/>
      <c r="B250" s="521"/>
      <c r="C250" s="31"/>
      <c r="D250" s="96"/>
      <c r="E250" s="522"/>
      <c r="F250" s="523"/>
      <c r="G250" s="524"/>
      <c r="H250" s="522"/>
      <c r="I250" s="523"/>
      <c r="J250" s="524"/>
      <c r="K250" s="522"/>
      <c r="L250" s="523"/>
      <c r="M250" s="524"/>
      <c r="N250" s="522"/>
      <c r="O250" s="523"/>
      <c r="P250" s="524"/>
      <c r="Q250" s="31"/>
      <c r="R250" s="31"/>
      <c r="S250" s="31"/>
      <c r="T250" s="31"/>
      <c r="U250" s="31"/>
      <c r="V250" s="31"/>
    </row>
    <row r="251" spans="1:22" ht="15.75">
      <c r="A251" s="31"/>
      <c r="B251" s="76"/>
      <c r="C251" s="31"/>
      <c r="D251" s="96"/>
      <c r="E251" s="525"/>
      <c r="F251" s="526"/>
      <c r="G251" s="524"/>
      <c r="H251" s="525"/>
      <c r="I251" s="526"/>
      <c r="J251" s="524"/>
      <c r="K251" s="525"/>
      <c r="L251" s="526"/>
      <c r="M251" s="524"/>
      <c r="N251" s="525"/>
      <c r="O251" s="526"/>
      <c r="P251" s="524"/>
      <c r="Q251" s="31"/>
      <c r="R251" s="31"/>
      <c r="S251" s="31"/>
      <c r="T251" s="31"/>
      <c r="U251" s="31"/>
      <c r="V251" s="31"/>
    </row>
    <row r="252" spans="1:22" ht="16.5" thickBot="1">
      <c r="A252" s="31"/>
      <c r="B252" s="76"/>
      <c r="C252" s="31"/>
      <c r="D252" s="96"/>
      <c r="E252" s="527"/>
      <c r="F252" s="528"/>
      <c r="G252" s="524"/>
      <c r="H252" s="527"/>
      <c r="I252" s="528"/>
      <c r="J252" s="524"/>
      <c r="K252" s="527"/>
      <c r="L252" s="528"/>
      <c r="M252" s="524"/>
      <c r="N252" s="527"/>
      <c r="O252" s="528"/>
      <c r="P252" s="524"/>
      <c r="Q252" s="31"/>
      <c r="R252" s="31"/>
      <c r="S252" s="31"/>
      <c r="T252" s="31"/>
      <c r="U252" s="31"/>
      <c r="V252" s="31"/>
    </row>
    <row r="253" spans="1:22" ht="18">
      <c r="A253" s="31"/>
      <c r="B253" s="529"/>
      <c r="C253" s="96"/>
      <c r="D253" s="530"/>
      <c r="E253" s="531" t="str">
        <f>E314</f>
        <v>Aumento del mes</v>
      </c>
      <c r="F253" s="296">
        <f>F314</f>
        <v>94464.597442906816</v>
      </c>
      <c r="G253" s="532"/>
      <c r="H253" s="531" t="str">
        <f>H314</f>
        <v>Aumento del mes</v>
      </c>
      <c r="I253" s="296">
        <f>I314</f>
        <v>50094.288770612329</v>
      </c>
      <c r="J253" s="532"/>
      <c r="K253" s="531" t="str">
        <f>K314</f>
        <v>Aumento del mes</v>
      </c>
      <c r="L253" s="296">
        <f>L314</f>
        <v>60000</v>
      </c>
      <c r="M253" s="532"/>
      <c r="N253" s="531" t="str">
        <f>N314</f>
        <v>Aumento del mes</v>
      </c>
      <c r="O253" s="296">
        <f>O314</f>
        <v>0</v>
      </c>
      <c r="P253" s="532"/>
      <c r="Q253" s="31"/>
      <c r="R253" s="31"/>
      <c r="S253" s="31"/>
      <c r="T253" s="31"/>
      <c r="U253" s="31"/>
      <c r="V253" s="31"/>
    </row>
    <row r="254" spans="1:22" ht="18.75" thickBot="1">
      <c r="A254" s="31"/>
      <c r="B254" s="529"/>
      <c r="C254" s="96"/>
      <c r="D254" s="189"/>
      <c r="E254" s="533" t="str">
        <f>E315</f>
        <v>Porc resp a anterior</v>
      </c>
      <c r="F254" s="298">
        <f>F315</f>
        <v>5.5059943871836318E-2</v>
      </c>
      <c r="G254" s="532"/>
      <c r="H254" s="533" t="str">
        <f>H315</f>
        <v>Porc resp a anterior</v>
      </c>
      <c r="I254" s="298">
        <f>I315</f>
        <v>3.0076292013400133E-2</v>
      </c>
      <c r="J254" s="532"/>
      <c r="K254" s="533" t="str">
        <f>K315</f>
        <v>Porc resp a anterior</v>
      </c>
      <c r="L254" s="298">
        <f>L315</f>
        <v>3.7369813860942708E-2</v>
      </c>
      <c r="M254" s="532"/>
      <c r="N254" s="533" t="str">
        <f>N315</f>
        <v>Porc resp a anterior</v>
      </c>
      <c r="O254" s="298">
        <f>O315</f>
        <v>0</v>
      </c>
      <c r="P254" s="532"/>
      <c r="Q254" s="31"/>
      <c r="R254" s="31"/>
      <c r="S254" s="31"/>
      <c r="T254" s="31"/>
      <c r="U254" s="31"/>
      <c r="V254" s="31"/>
    </row>
    <row r="255" spans="1:22" ht="16.5" thickBot="1">
      <c r="A255" s="31"/>
      <c r="B255" s="529"/>
      <c r="C255" s="96"/>
      <c r="D255" s="85"/>
      <c r="E255" s="534"/>
      <c r="F255" s="535"/>
      <c r="G255" s="532"/>
      <c r="H255" s="534"/>
      <c r="I255" s="535"/>
      <c r="J255" s="532"/>
      <c r="K255" s="534"/>
      <c r="L255" s="535"/>
      <c r="M255" s="532"/>
      <c r="N255" s="534"/>
      <c r="O255" s="535"/>
      <c r="P255" s="532"/>
      <c r="Q255" s="31"/>
      <c r="R255" s="31"/>
      <c r="S255" s="31"/>
      <c r="T255" s="31"/>
      <c r="U255" s="31"/>
      <c r="V255" s="31"/>
    </row>
    <row r="256" spans="1:22" ht="18">
      <c r="A256" s="31"/>
      <c r="B256" s="529"/>
      <c r="C256" s="96"/>
      <c r="D256" s="294"/>
      <c r="E256" s="536" t="str">
        <f>E317</f>
        <v>Aumento acumulado anual</v>
      </c>
      <c r="F256" s="537">
        <f>F317</f>
        <v>204558.88621351914</v>
      </c>
      <c r="G256" s="532"/>
      <c r="H256" s="536" t="str">
        <f>H317</f>
        <v>Aumento acumulado anual</v>
      </c>
      <c r="I256" s="537">
        <f>I317</f>
        <v>110094.28877061233</v>
      </c>
      <c r="J256" s="532"/>
      <c r="K256" s="536" t="str">
        <f>K317</f>
        <v>Aumento acumulado anual</v>
      </c>
      <c r="L256" s="537">
        <f>L317</f>
        <v>60000</v>
      </c>
      <c r="M256" s="532"/>
      <c r="N256" s="536" t="str">
        <f>N317</f>
        <v>Aumento acumulado anual</v>
      </c>
      <c r="O256" s="537">
        <f>O317</f>
        <v>0</v>
      </c>
      <c r="P256" s="532"/>
      <c r="Q256" s="31"/>
      <c r="R256" s="31"/>
      <c r="S256" s="31"/>
      <c r="T256" s="31"/>
      <c r="U256" s="31"/>
      <c r="V256" s="31"/>
    </row>
    <row r="257" spans="1:22" ht="16.5" thickBot="1">
      <c r="A257" s="31"/>
      <c r="B257" s="529"/>
      <c r="C257" s="96"/>
      <c r="D257" s="31"/>
      <c r="E257" s="538" t="str">
        <f>E318</f>
        <v>Porcentaje acumulado</v>
      </c>
      <c r="F257" s="539">
        <f>F318</f>
        <v>0.12740545835668282</v>
      </c>
      <c r="G257" s="532"/>
      <c r="H257" s="538" t="str">
        <f>H318</f>
        <v>Porcentaje acumulado</v>
      </c>
      <c r="I257" s="539">
        <f>I318</f>
        <v>6.857005130851096E-2</v>
      </c>
      <c r="J257" s="532"/>
      <c r="K257" s="538" t="str">
        <f>K318</f>
        <v>Porcentaje acumulado</v>
      </c>
      <c r="L257" s="539">
        <f>L318</f>
        <v>3.7369813860942708E-2</v>
      </c>
      <c r="M257" s="532"/>
      <c r="N257" s="538" t="str">
        <f>N318</f>
        <v>Porcentaje acumulado</v>
      </c>
      <c r="O257" s="539">
        <f>O318</f>
        <v>0</v>
      </c>
      <c r="P257" s="532"/>
      <c r="Q257" s="31"/>
      <c r="R257" s="31"/>
      <c r="S257" s="31"/>
      <c r="T257" s="31"/>
      <c r="U257" s="31"/>
      <c r="V257" s="31"/>
    </row>
    <row r="258" spans="1:22" ht="16.5" thickBot="1">
      <c r="A258" s="31"/>
      <c r="B258" s="529"/>
      <c r="C258" s="96"/>
      <c r="D258" s="31"/>
      <c r="E258" s="540"/>
      <c r="F258" s="541"/>
      <c r="G258" s="532"/>
      <c r="H258" s="540"/>
      <c r="I258" s="541"/>
      <c r="J258" s="532"/>
      <c r="K258" s="540"/>
      <c r="L258" s="541"/>
      <c r="M258" s="532"/>
      <c r="N258" s="540"/>
      <c r="O258" s="541"/>
      <c r="P258" s="532"/>
      <c r="Q258" s="31"/>
      <c r="R258" s="31"/>
      <c r="S258" s="31"/>
      <c r="T258" s="31"/>
      <c r="U258" s="31"/>
      <c r="V258" s="31"/>
    </row>
    <row r="259" spans="1:22" ht="15.75">
      <c r="A259" s="31"/>
      <c r="B259" s="529"/>
      <c r="C259" s="96"/>
      <c r="D259" s="530"/>
      <c r="E259" s="309" t="s">
        <v>501</v>
      </c>
      <c r="F259" s="542">
        <f>F320</f>
        <v>44440.597442906816</v>
      </c>
      <c r="G259" s="532"/>
      <c r="H259" s="309" t="s">
        <v>501</v>
      </c>
      <c r="I259" s="542">
        <f>I320</f>
        <v>50094.288770612329</v>
      </c>
      <c r="J259" s="532"/>
      <c r="K259" s="309" t="s">
        <v>501</v>
      </c>
      <c r="L259" s="542">
        <f>L320</f>
        <v>0</v>
      </c>
      <c r="M259" s="532"/>
      <c r="N259" s="309" t="s">
        <v>501</v>
      </c>
      <c r="O259" s="542">
        <f>O320</f>
        <v>0</v>
      </c>
      <c r="P259" s="532"/>
      <c r="Q259" s="31"/>
      <c r="R259" s="31"/>
      <c r="S259" s="31"/>
      <c r="T259" s="31"/>
      <c r="U259" s="31"/>
      <c r="V259" s="31"/>
    </row>
    <row r="260" spans="1:22" ht="16.5" thickBot="1">
      <c r="A260" s="31"/>
      <c r="B260" s="529"/>
      <c r="C260" s="96"/>
      <c r="D260" s="530"/>
      <c r="E260" s="311" t="s">
        <v>508</v>
      </c>
      <c r="F260" s="312">
        <f>F321</f>
        <v>2.8275552991673534E-2</v>
      </c>
      <c r="G260" s="532"/>
      <c r="H260" s="311" t="s">
        <v>508</v>
      </c>
      <c r="I260" s="312">
        <f>I321</f>
        <v>3.3912522898612796E-2</v>
      </c>
      <c r="J260" s="532"/>
      <c r="K260" s="311" t="s">
        <v>508</v>
      </c>
      <c r="L260" s="312">
        <f>L321</f>
        <v>0</v>
      </c>
      <c r="M260" s="532"/>
      <c r="N260" s="311" t="s">
        <v>508</v>
      </c>
      <c r="O260" s="312">
        <f>O321</f>
        <v>0</v>
      </c>
      <c r="P260" s="532"/>
      <c r="Q260" s="31"/>
      <c r="R260" s="31"/>
      <c r="S260" s="31"/>
      <c r="T260" s="31"/>
      <c r="U260" s="31"/>
      <c r="V260" s="31"/>
    </row>
    <row r="261" spans="1:22" ht="16.5" thickBot="1">
      <c r="A261" s="31"/>
      <c r="B261" s="529"/>
      <c r="C261" s="96"/>
      <c r="D261" s="530"/>
      <c r="E261" s="543"/>
      <c r="F261" s="544"/>
      <c r="G261" s="532"/>
      <c r="H261" s="543"/>
      <c r="I261" s="544"/>
      <c r="J261" s="532"/>
      <c r="K261" s="543"/>
      <c r="L261" s="544"/>
      <c r="M261" s="532"/>
      <c r="N261" s="545"/>
      <c r="O261" s="546"/>
      <c r="P261" s="532"/>
      <c r="Q261" s="31"/>
      <c r="R261" s="31"/>
      <c r="S261" s="31"/>
      <c r="T261" s="31"/>
      <c r="U261" s="31"/>
      <c r="V261" s="31"/>
    </row>
    <row r="262" spans="1:22" ht="16.5" thickBot="1">
      <c r="A262" s="31"/>
      <c r="B262" s="529"/>
      <c r="C262" s="96"/>
      <c r="D262" s="530"/>
      <c r="E262" s="309" t="s">
        <v>510</v>
      </c>
      <c r="F262" s="547">
        <f t="shared" ref="F262:F263" si="83">F323</f>
        <v>94534.886213519145</v>
      </c>
      <c r="G262" s="532"/>
      <c r="H262" s="309" t="s">
        <v>510</v>
      </c>
      <c r="I262" s="547">
        <f t="shared" ref="I262:I263" si="84">I323</f>
        <v>50094.288770612329</v>
      </c>
      <c r="J262" s="532"/>
      <c r="K262" s="309" t="s">
        <v>510</v>
      </c>
      <c r="L262" s="547">
        <f t="shared" ref="L262:L263" si="85">L323</f>
        <v>0</v>
      </c>
      <c r="M262" s="532"/>
      <c r="N262" s="545"/>
      <c r="O262" s="546"/>
      <c r="P262" s="532"/>
      <c r="Q262" s="31"/>
      <c r="R262" s="31"/>
      <c r="S262" s="31"/>
      <c r="T262" s="31"/>
      <c r="U262" s="31"/>
      <c r="V262" s="31"/>
    </row>
    <row r="263" spans="1:22" ht="16.5" thickBot="1">
      <c r="A263" s="31"/>
      <c r="B263" s="529"/>
      <c r="C263" s="96"/>
      <c r="D263" s="530"/>
      <c r="E263" s="311" t="s">
        <v>502</v>
      </c>
      <c r="F263" s="548">
        <f t="shared" si="83"/>
        <v>6.3997644683887897E-2</v>
      </c>
      <c r="G263" s="532"/>
      <c r="H263" s="311" t="s">
        <v>502</v>
      </c>
      <c r="I263" s="548">
        <f t="shared" si="84"/>
        <v>3.3912522898612796E-2</v>
      </c>
      <c r="J263" s="532"/>
      <c r="K263" s="311" t="s">
        <v>502</v>
      </c>
      <c r="L263" s="548">
        <f t="shared" si="85"/>
        <v>0</v>
      </c>
      <c r="M263" s="532"/>
      <c r="N263" s="545"/>
      <c r="O263" s="546"/>
      <c r="P263" s="532"/>
      <c r="Q263" s="31"/>
      <c r="R263" s="31"/>
      <c r="S263" s="31"/>
      <c r="T263" s="31"/>
      <c r="U263" s="31"/>
      <c r="V263" s="31"/>
    </row>
    <row r="264" spans="1:22" ht="16.5" thickBot="1">
      <c r="A264" s="31"/>
      <c r="B264" s="529"/>
      <c r="C264" s="96"/>
      <c r="D264" s="530"/>
      <c r="E264" s="527"/>
      <c r="F264" s="527"/>
      <c r="G264" s="532"/>
      <c r="H264" s="527"/>
      <c r="I264" s="527"/>
      <c r="J264" s="532"/>
      <c r="K264" s="527"/>
      <c r="L264" s="527"/>
      <c r="M264" s="532"/>
      <c r="N264" s="527"/>
      <c r="O264" s="527"/>
      <c r="P264" s="532"/>
      <c r="Q264" s="31"/>
      <c r="R264" s="31"/>
      <c r="S264" s="31"/>
      <c r="T264" s="31"/>
      <c r="U264" s="31"/>
      <c r="V264" s="31"/>
    </row>
    <row r="265" spans="1:22" ht="16.5" thickTop="1">
      <c r="A265" s="31"/>
      <c r="B265" s="529"/>
      <c r="C265" s="96"/>
      <c r="D265" s="530"/>
      <c r="E265" s="313" t="str">
        <f t="shared" ref="E265" si="86">E326</f>
        <v>Medio Aguinaldo</v>
      </c>
      <c r="F265" s="314"/>
      <c r="G265" s="532"/>
      <c r="H265" s="313" t="str">
        <f t="shared" ref="H265:I270" si="87">H326</f>
        <v>Medio Aguinaldo</v>
      </c>
      <c r="I265" s="314"/>
      <c r="J265" s="532"/>
      <c r="K265" s="313" t="str">
        <f t="shared" ref="K265:L270" si="88">K326</f>
        <v>Medio Aguinaldo</v>
      </c>
      <c r="L265" s="314"/>
      <c r="M265" s="532"/>
      <c r="N265" s="313" t="str">
        <f t="shared" ref="N265:O270" si="89">N326</f>
        <v>Medio Aguinaldo</v>
      </c>
      <c r="O265" s="314"/>
      <c r="P265" s="532"/>
      <c r="Q265" s="31"/>
      <c r="R265" s="31"/>
      <c r="S265" s="31"/>
      <c r="T265" s="31"/>
      <c r="U265" s="31"/>
      <c r="V265" s="31"/>
    </row>
    <row r="266" spans="1:22" ht="15.75">
      <c r="A266" s="31"/>
      <c r="B266" s="529"/>
      <c r="C266" s="96"/>
      <c r="D266" s="530"/>
      <c r="E266" s="315" t="str">
        <f t="shared" ref="E266:F266" si="90">E327</f>
        <v>código 100</v>
      </c>
      <c r="F266" s="549">
        <f t="shared" si="90"/>
        <v>1007497.9779101298</v>
      </c>
      <c r="G266" s="532"/>
      <c r="H266" s="315" t="str">
        <f t="shared" si="87"/>
        <v>código 100</v>
      </c>
      <c r="I266" s="549">
        <f t="shared" si="87"/>
        <v>979010.41544672812</v>
      </c>
      <c r="J266" s="532"/>
      <c r="K266" s="315" t="str">
        <f t="shared" si="88"/>
        <v>código 100</v>
      </c>
      <c r="L266" s="549">
        <f t="shared" si="88"/>
        <v>946898.69187582261</v>
      </c>
      <c r="M266" s="532"/>
      <c r="N266" s="315" t="str">
        <f t="shared" si="89"/>
        <v>código 100</v>
      </c>
      <c r="O266" s="549">
        <f t="shared" si="89"/>
        <v>946898.69187582261</v>
      </c>
      <c r="P266" s="532"/>
      <c r="Q266" s="31"/>
      <c r="R266" s="31"/>
      <c r="S266" s="31"/>
      <c r="T266" s="31"/>
      <c r="U266" s="31"/>
      <c r="V266" s="31"/>
    </row>
    <row r="267" spans="1:22" ht="15.75">
      <c r="A267" s="31"/>
      <c r="B267" s="529"/>
      <c r="C267" s="96"/>
      <c r="D267" s="530"/>
      <c r="E267" s="550" t="str">
        <f t="shared" ref="E267:F267" si="91">E328</f>
        <v>código 186 (No remun)</v>
      </c>
      <c r="F267" s="551">
        <f t="shared" si="91"/>
        <v>0</v>
      </c>
      <c r="G267" s="532"/>
      <c r="H267" s="550" t="str">
        <f t="shared" si="87"/>
        <v>código 186 (No remun)</v>
      </c>
      <c r="I267" s="551">
        <f t="shared" si="87"/>
        <v>0</v>
      </c>
      <c r="J267" s="532"/>
      <c r="K267" s="550" t="str">
        <f t="shared" si="88"/>
        <v>código 186 (No remun)</v>
      </c>
      <c r="L267" s="551">
        <f t="shared" si="88"/>
        <v>0</v>
      </c>
      <c r="M267" s="532"/>
      <c r="N267" s="550" t="str">
        <f t="shared" si="89"/>
        <v>código 186 (No remun)</v>
      </c>
      <c r="O267" s="551">
        <f t="shared" si="89"/>
        <v>0</v>
      </c>
      <c r="P267" s="532"/>
      <c r="Q267" s="31"/>
      <c r="R267" s="31"/>
      <c r="S267" s="31"/>
      <c r="T267" s="31"/>
      <c r="U267" s="31"/>
      <c r="V267" s="31"/>
    </row>
    <row r="268" spans="1:22" ht="15.75">
      <c r="A268" s="31"/>
      <c r="B268" s="529"/>
      <c r="C268" s="96"/>
      <c r="D268" s="552"/>
      <c r="E268" s="315" t="str">
        <f t="shared" ref="E268:F268" si="92">E329</f>
        <v>Líquido</v>
      </c>
      <c r="F268" s="317">
        <f t="shared" si="92"/>
        <v>785848.42276990134</v>
      </c>
      <c r="G268" s="532"/>
      <c r="H268" s="315" t="str">
        <f t="shared" si="87"/>
        <v>Líquido</v>
      </c>
      <c r="I268" s="317">
        <f t="shared" si="87"/>
        <v>763628.12404844793</v>
      </c>
      <c r="J268" s="532"/>
      <c r="K268" s="315" t="str">
        <f t="shared" si="88"/>
        <v>Líquido</v>
      </c>
      <c r="L268" s="317">
        <f t="shared" si="88"/>
        <v>738580.97966314165</v>
      </c>
      <c r="M268" s="532"/>
      <c r="N268" s="315" t="str">
        <f t="shared" si="89"/>
        <v>Líquido</v>
      </c>
      <c r="O268" s="317">
        <f t="shared" si="89"/>
        <v>738580.97966314165</v>
      </c>
      <c r="P268" s="532"/>
      <c r="Q268" s="31"/>
      <c r="R268" s="31"/>
      <c r="S268" s="31"/>
      <c r="T268" s="31"/>
      <c r="U268" s="31"/>
      <c r="V268" s="31"/>
    </row>
    <row r="269" spans="1:22" ht="15.75">
      <c r="A269" s="31"/>
      <c r="B269" s="529"/>
      <c r="C269" s="96"/>
      <c r="D269" s="530"/>
      <c r="E269" s="550" t="str">
        <f t="shared" ref="E269" si="93">E330</f>
        <v>Descuentos con aguinaldo</v>
      </c>
      <c r="F269" s="551"/>
      <c r="G269" s="532"/>
      <c r="H269" s="550" t="str">
        <f t="shared" si="87"/>
        <v>Descuentos con aguinaldo</v>
      </c>
      <c r="I269" s="551"/>
      <c r="J269" s="532"/>
      <c r="K269" s="550" t="str">
        <f t="shared" si="88"/>
        <v>Descuentos con aguinaldo</v>
      </c>
      <c r="L269" s="551"/>
      <c r="M269" s="532"/>
      <c r="N269" s="550" t="str">
        <f t="shared" si="89"/>
        <v>Descuentos con aguinaldo</v>
      </c>
      <c r="O269" s="551"/>
      <c r="P269" s="532"/>
      <c r="Q269" s="31"/>
      <c r="R269" s="31"/>
      <c r="S269" s="31"/>
      <c r="T269" s="31"/>
      <c r="U269" s="31"/>
      <c r="V269" s="31"/>
    </row>
    <row r="270" spans="1:22" ht="15.75">
      <c r="A270" s="31"/>
      <c r="B270" s="529"/>
      <c r="C270" s="96"/>
      <c r="D270" s="530"/>
      <c r="E270" s="315">
        <f t="shared" ref="E270" si="94">E331</f>
        <v>502</v>
      </c>
      <c r="F270" s="317">
        <f>F331</f>
        <v>-574273.84740877396</v>
      </c>
      <c r="G270" s="532"/>
      <c r="H270" s="315">
        <f t="shared" si="87"/>
        <v>502</v>
      </c>
      <c r="I270" s="317">
        <f>I331</f>
        <v>-558035.9368046351</v>
      </c>
      <c r="J270" s="532"/>
      <c r="K270" s="315">
        <f t="shared" si="88"/>
        <v>502</v>
      </c>
      <c r="L270" s="317">
        <f>L331</f>
        <v>-539732.25436921883</v>
      </c>
      <c r="M270" s="532"/>
      <c r="N270" s="315">
        <f t="shared" si="89"/>
        <v>502</v>
      </c>
      <c r="O270" s="317">
        <f>O331</f>
        <v>-539732.25436921883</v>
      </c>
      <c r="P270" s="532"/>
      <c r="Q270" s="31"/>
      <c r="R270" s="31"/>
      <c r="S270" s="31"/>
      <c r="T270" s="31"/>
      <c r="U270" s="31"/>
      <c r="V270" s="31"/>
    </row>
    <row r="271" spans="1:22" ht="15.75">
      <c r="A271" s="31"/>
      <c r="B271" s="529"/>
      <c r="C271" s="96"/>
      <c r="D271" s="530"/>
      <c r="E271" s="315">
        <f t="shared" ref="E271:F271" si="95">E333</f>
        <v>505</v>
      </c>
      <c r="F271" s="317">
        <f t="shared" si="95"/>
        <v>-90674.818011911673</v>
      </c>
      <c r="G271" s="532"/>
      <c r="H271" s="315">
        <f t="shared" ref="H271:I271" si="96">H333</f>
        <v>505</v>
      </c>
      <c r="I271" s="317">
        <f t="shared" si="96"/>
        <v>-88110.937390205538</v>
      </c>
      <c r="J271" s="532"/>
      <c r="K271" s="315">
        <f t="shared" ref="K271:L271" si="97">K333</f>
        <v>505</v>
      </c>
      <c r="L271" s="317">
        <f t="shared" si="97"/>
        <v>-85220.882268824018</v>
      </c>
      <c r="M271" s="532"/>
      <c r="N271" s="315">
        <f t="shared" ref="N271:O271" si="98">N333</f>
        <v>505</v>
      </c>
      <c r="O271" s="317">
        <f t="shared" si="98"/>
        <v>-85220.882268824018</v>
      </c>
      <c r="P271" s="532"/>
      <c r="Q271" s="31"/>
      <c r="R271" s="31"/>
      <c r="S271" s="31"/>
      <c r="T271" s="31"/>
      <c r="U271" s="31"/>
      <c r="V271" s="31"/>
    </row>
    <row r="272" spans="1:22" ht="15.75">
      <c r="A272" s="31"/>
      <c r="B272" s="529"/>
      <c r="C272" s="96"/>
      <c r="D272" s="530"/>
      <c r="E272" s="550"/>
      <c r="F272" s="551"/>
      <c r="G272" s="532"/>
      <c r="H272" s="550"/>
      <c r="I272" s="551"/>
      <c r="J272" s="532"/>
      <c r="K272" s="550"/>
      <c r="L272" s="551"/>
      <c r="M272" s="532"/>
      <c r="N272" s="550"/>
      <c r="O272" s="551"/>
      <c r="P272" s="532"/>
      <c r="Q272" s="31"/>
      <c r="R272" s="31"/>
      <c r="S272" s="31"/>
      <c r="T272" s="31"/>
      <c r="U272" s="31"/>
      <c r="V272" s="31"/>
    </row>
    <row r="273" spans="1:22" ht="15.75">
      <c r="A273" s="31"/>
      <c r="B273" s="529"/>
      <c r="C273" s="96"/>
      <c r="D273" s="530"/>
      <c r="E273" s="315" t="str">
        <f t="shared" ref="E273" si="99">E335</f>
        <v>Sueldo líquido incluyendo aguinaldo</v>
      </c>
      <c r="F273" s="317"/>
      <c r="G273" s="532"/>
      <c r="H273" s="315" t="str">
        <f t="shared" ref="H273" si="100">H335</f>
        <v>Sueldo líquido incluyendo aguinaldo</v>
      </c>
      <c r="I273" s="317"/>
      <c r="J273" s="532"/>
      <c r="K273" s="315" t="str">
        <f t="shared" ref="K273" si="101">K335</f>
        <v>Sueldo líquido incluyendo aguinaldo</v>
      </c>
      <c r="L273" s="317"/>
      <c r="M273" s="532"/>
      <c r="N273" s="315" t="str">
        <f t="shared" ref="N273" si="102">N335</f>
        <v>Sueldo líquido incluyendo aguinaldo</v>
      </c>
      <c r="O273" s="317"/>
      <c r="P273" s="532"/>
      <c r="Q273" s="31"/>
      <c r="R273" s="31"/>
      <c r="S273" s="31"/>
      <c r="T273" s="31"/>
      <c r="U273" s="31"/>
      <c r="V273" s="31"/>
    </row>
    <row r="274" spans="1:22" ht="15.75">
      <c r="A274" s="31"/>
      <c r="B274" s="529"/>
      <c r="C274" s="96"/>
      <c r="D274" s="530"/>
      <c r="E274" s="550"/>
      <c r="F274" s="553">
        <f t="shared" ref="F274" si="103">F336</f>
        <v>2595981.268309704</v>
      </c>
      <c r="G274" s="532"/>
      <c r="H274" s="550"/>
      <c r="I274" s="553">
        <f t="shared" ref="I274" si="104">I336</f>
        <v>2479296.3721453436</v>
      </c>
      <c r="J274" s="532"/>
      <c r="K274" s="550"/>
      <c r="L274" s="553">
        <f t="shared" ref="L274" si="105">L336</f>
        <v>2404154.9389894246</v>
      </c>
      <c r="M274" s="532"/>
      <c r="N274" s="550"/>
      <c r="O274" s="553">
        <f t="shared" ref="O274" si="106">O336</f>
        <v>2344154.9389894246</v>
      </c>
      <c r="P274" s="532"/>
      <c r="Q274" s="31"/>
      <c r="R274" s="31"/>
      <c r="S274" s="31"/>
      <c r="T274" s="31"/>
      <c r="U274" s="31"/>
      <c r="V274" s="31"/>
    </row>
    <row r="275" spans="1:22" ht="15.75">
      <c r="A275" s="31"/>
      <c r="B275" s="529"/>
      <c r="C275" s="96"/>
      <c r="D275" s="530"/>
      <c r="E275" s="554" t="str">
        <f t="shared" ref="E275" si="107">E337</f>
        <v>Aguinaldo de bolsillo</v>
      </c>
      <c r="F275" s="317"/>
      <c r="G275" s="532"/>
      <c r="H275" s="554" t="str">
        <f t="shared" ref="H275" si="108">H337</f>
        <v>Aguinaldo de bolsillo</v>
      </c>
      <c r="I275" s="317"/>
      <c r="J275" s="532"/>
      <c r="K275" s="554" t="str">
        <f t="shared" ref="K275" si="109">K337</f>
        <v>Aguinaldo de bolsillo</v>
      </c>
      <c r="L275" s="317"/>
      <c r="M275" s="532"/>
      <c r="N275" s="554" t="str">
        <f t="shared" ref="N275" si="110">N337</f>
        <v>Aguinaldo de bolsillo</v>
      </c>
      <c r="O275" s="317"/>
      <c r="P275" s="532"/>
      <c r="Q275" s="31"/>
      <c r="R275" s="31"/>
      <c r="S275" s="31"/>
      <c r="T275" s="31"/>
      <c r="U275" s="31"/>
      <c r="V275" s="31"/>
    </row>
    <row r="276" spans="1:22" ht="16.5" thickBot="1">
      <c r="A276" s="31"/>
      <c r="B276" s="529"/>
      <c r="C276" s="96"/>
      <c r="D276" s="530"/>
      <c r="E276" s="555"/>
      <c r="F276" s="556">
        <f t="shared" ref="F276" si="111">F338</f>
        <v>785848.42276990158</v>
      </c>
      <c r="G276" s="532"/>
      <c r="H276" s="555"/>
      <c r="I276" s="556">
        <f t="shared" ref="I276" si="112">I338</f>
        <v>763628.12404844793</v>
      </c>
      <c r="J276" s="532"/>
      <c r="K276" s="555"/>
      <c r="L276" s="556">
        <f t="shared" ref="L276" si="113">L338</f>
        <v>738580.9796631413</v>
      </c>
      <c r="M276" s="532"/>
      <c r="N276" s="555"/>
      <c r="O276" s="556">
        <f t="shared" ref="O276" si="114">O338</f>
        <v>738580.9796631413</v>
      </c>
      <c r="P276" s="532"/>
      <c r="Q276" s="31"/>
      <c r="R276" s="31"/>
      <c r="S276" s="31"/>
      <c r="T276" s="31"/>
      <c r="U276" s="31"/>
      <c r="V276" s="31"/>
    </row>
    <row r="277" spans="1:22" ht="18.75" thickTop="1">
      <c r="A277" s="31"/>
      <c r="B277" s="529"/>
      <c r="C277" s="96"/>
      <c r="D277" s="530"/>
      <c r="E277" s="530"/>
      <c r="F277" s="530"/>
      <c r="G277" s="532"/>
      <c r="H277" s="530"/>
      <c r="I277" s="530"/>
      <c r="J277" s="532"/>
      <c r="K277" s="530"/>
      <c r="L277" s="530"/>
      <c r="M277" s="532"/>
      <c r="N277" s="22">
        <v>45992</v>
      </c>
      <c r="O277" s="530"/>
      <c r="P277" s="532"/>
      <c r="Q277" s="31"/>
      <c r="R277" s="31"/>
      <c r="S277" s="31"/>
      <c r="T277" s="31"/>
      <c r="U277" s="31"/>
      <c r="V277" s="31"/>
    </row>
    <row r="278" spans="1:22" ht="20.25">
      <c r="A278" s="31"/>
      <c r="B278" s="31"/>
      <c r="C278" s="31"/>
      <c r="D278" s="31"/>
      <c r="E278" s="812">
        <v>46204</v>
      </c>
      <c r="F278" s="813">
        <f>Aumentojulio26</f>
        <v>6.6049999999999942E-2</v>
      </c>
      <c r="G278" s="814"/>
      <c r="H278" s="812">
        <v>46143</v>
      </c>
      <c r="I278" s="813">
        <v>3.5000000000000003E-2</v>
      </c>
      <c r="J278" s="814"/>
      <c r="K278" s="812">
        <v>46054</v>
      </c>
      <c r="L278" s="813">
        <v>0</v>
      </c>
      <c r="M278" s="814"/>
      <c r="N278" s="812">
        <v>45992</v>
      </c>
      <c r="O278" s="23" t="e">
        <f>(1+Aumentodic25respene25)*(1+Aumentoene25respdic24)-1</f>
        <v>#NAME?</v>
      </c>
      <c r="P278" s="21"/>
      <c r="Q278" s="31"/>
      <c r="R278" s="31"/>
      <c r="S278" s="31"/>
      <c r="T278" s="31"/>
      <c r="U278" s="31"/>
      <c r="V278" s="31"/>
    </row>
    <row r="279" spans="1:22" hidden="1">
      <c r="A279" s="31"/>
      <c r="B279" s="557"/>
      <c r="C279" s="557"/>
      <c r="D279" s="557"/>
      <c r="E279" s="557"/>
      <c r="F279" s="557"/>
      <c r="G279" s="558"/>
      <c r="H279" s="557"/>
      <c r="I279" s="557"/>
      <c r="J279" s="558"/>
      <c r="K279" s="557"/>
      <c r="L279" s="557"/>
      <c r="M279" s="558"/>
      <c r="N279" s="557"/>
      <c r="O279" s="557"/>
      <c r="P279" s="558"/>
      <c r="Q279" s="31"/>
      <c r="R279" s="31"/>
      <c r="S279" s="31"/>
      <c r="T279" s="31"/>
      <c r="U279" s="31"/>
      <c r="V279" s="31"/>
    </row>
    <row r="280" spans="1:22" hidden="1">
      <c r="A280" s="31"/>
      <c r="B280" s="557"/>
      <c r="C280" s="557"/>
      <c r="D280" s="557"/>
      <c r="E280" s="557">
        <f>5141/15</f>
        <v>342.73333333333335</v>
      </c>
      <c r="F280" s="557"/>
      <c r="G280" s="558"/>
      <c r="H280" s="557">
        <f>5141/15</f>
        <v>342.73333333333335</v>
      </c>
      <c r="I280" s="557"/>
      <c r="J280" s="558"/>
      <c r="K280" s="557">
        <f>5141/15</f>
        <v>342.73333333333335</v>
      </c>
      <c r="L280" s="557"/>
      <c r="M280" s="558"/>
      <c r="N280" s="557">
        <f>5141/15</f>
        <v>342.73333333333335</v>
      </c>
      <c r="O280" s="557"/>
      <c r="P280" s="558"/>
      <c r="Q280" s="31"/>
      <c r="R280" s="31"/>
      <c r="S280" s="31"/>
      <c r="T280" s="31"/>
      <c r="U280" s="31"/>
      <c r="V280" s="31"/>
    </row>
    <row r="281" spans="1:22" hidden="1">
      <c r="A281" s="31"/>
      <c r="B281" s="557"/>
      <c r="C281" s="557"/>
      <c r="D281" s="557"/>
      <c r="E281" s="557">
        <f>5141*2</f>
        <v>10282</v>
      </c>
      <c r="F281" s="557"/>
      <c r="G281" s="558"/>
      <c r="H281" s="557">
        <f>5141*2</f>
        <v>10282</v>
      </c>
      <c r="I281" s="557"/>
      <c r="J281" s="558"/>
      <c r="K281" s="557">
        <f>5141*2</f>
        <v>10282</v>
      </c>
      <c r="L281" s="557"/>
      <c r="M281" s="558"/>
      <c r="N281" s="557">
        <f>5141*2</f>
        <v>10282</v>
      </c>
      <c r="O281" s="557"/>
      <c r="P281" s="558"/>
      <c r="Q281" s="31"/>
      <c r="R281" s="31"/>
      <c r="S281" s="31"/>
      <c r="T281" s="31"/>
      <c r="U281" s="31"/>
      <c r="V281" s="31"/>
    </row>
    <row r="282" spans="1:22" hidden="1">
      <c r="A282" s="31"/>
      <c r="B282" s="557"/>
      <c r="C282" s="557"/>
      <c r="D282" s="557"/>
      <c r="E282" s="557"/>
      <c r="F282" s="557"/>
      <c r="G282" s="558"/>
      <c r="H282" s="557"/>
      <c r="I282" s="557"/>
      <c r="J282" s="558"/>
      <c r="K282" s="557"/>
      <c r="L282" s="557"/>
      <c r="M282" s="558"/>
      <c r="N282" s="557"/>
      <c r="O282" s="557"/>
      <c r="P282" s="558"/>
      <c r="Q282" s="31"/>
      <c r="R282" s="31"/>
      <c r="S282" s="31"/>
      <c r="T282" s="31"/>
      <c r="U282" s="31"/>
      <c r="V282" s="31"/>
    </row>
    <row r="283" spans="1:22" hidden="1">
      <c r="A283" s="31"/>
      <c r="B283" s="557"/>
      <c r="C283" s="557"/>
      <c r="D283" s="559">
        <f>5353.23/30</f>
        <v>178.44099999999997</v>
      </c>
      <c r="E283" s="557"/>
      <c r="F283" s="557"/>
      <c r="G283" s="558"/>
      <c r="H283" s="557"/>
      <c r="I283" s="557"/>
      <c r="J283" s="558"/>
      <c r="K283" s="557"/>
      <c r="L283" s="557"/>
      <c r="M283" s="558"/>
      <c r="N283" s="557"/>
      <c r="O283" s="557"/>
      <c r="P283" s="558"/>
      <c r="Q283" s="31"/>
      <c r="R283" s="31"/>
      <c r="S283" s="31"/>
      <c r="T283" s="31"/>
      <c r="U283" s="31"/>
      <c r="V283" s="31"/>
    </row>
    <row r="284" spans="1:22" ht="18" hidden="1">
      <c r="A284" s="31"/>
      <c r="B284" s="557"/>
      <c r="C284" s="557"/>
      <c r="D284" s="557"/>
      <c r="E284" s="557"/>
      <c r="F284" s="557"/>
      <c r="G284" s="558"/>
      <c r="H284" s="557"/>
      <c r="I284" s="557"/>
      <c r="J284" s="558"/>
      <c r="K284" s="557"/>
      <c r="L284" s="557"/>
      <c r="M284" s="558"/>
      <c r="N284" s="22">
        <v>45992</v>
      </c>
      <c r="O284" s="557"/>
      <c r="P284" s="558"/>
      <c r="Q284" s="31"/>
      <c r="R284" s="31"/>
      <c r="S284" s="31"/>
      <c r="T284" s="31"/>
      <c r="U284" s="31"/>
      <c r="V284" s="31"/>
    </row>
    <row r="285" spans="1:22" ht="27" hidden="1" thickBot="1">
      <c r="A285" s="31"/>
      <c r="B285" s="461"/>
      <c r="C285" s="31"/>
      <c r="D285" s="461"/>
      <c r="E285" s="812">
        <v>46204</v>
      </c>
      <c r="F285" s="813">
        <f>Aumentojulio26</f>
        <v>6.6049999999999942E-2</v>
      </c>
      <c r="G285" s="814"/>
      <c r="H285" s="812">
        <v>46143</v>
      </c>
      <c r="I285" s="813">
        <v>3.5000000000000003E-2</v>
      </c>
      <c r="J285" s="814"/>
      <c r="K285" s="812">
        <v>46054</v>
      </c>
      <c r="L285" s="813">
        <v>0</v>
      </c>
      <c r="M285" s="814"/>
      <c r="N285" s="812">
        <v>45992</v>
      </c>
      <c r="O285" s="23" t="e">
        <f>(1+Aumentodic25respene25)*(1+Aumentoene25respdic24)-1</f>
        <v>#NAME?</v>
      </c>
      <c r="P285" s="21"/>
      <c r="Q285" s="414"/>
      <c r="R285" s="560"/>
      <c r="S285" s="414"/>
      <c r="T285" s="414"/>
      <c r="U285" s="31"/>
      <c r="V285" s="31"/>
    </row>
    <row r="286" spans="1:22" ht="15.75" hidden="1" thickBot="1">
      <c r="A286" s="31"/>
      <c r="B286" s="326" t="s">
        <v>465</v>
      </c>
      <c r="C286" s="326" t="s">
        <v>466</v>
      </c>
      <c r="D286" s="326" t="s">
        <v>467</v>
      </c>
      <c r="E286" s="326"/>
      <c r="F286" s="326"/>
      <c r="G286" s="326"/>
      <c r="H286" s="326"/>
      <c r="I286" s="326"/>
      <c r="J286" s="326"/>
      <c r="K286" s="326"/>
      <c r="L286" s="326"/>
      <c r="M286" s="326"/>
      <c r="N286" s="326"/>
      <c r="O286" s="326"/>
      <c r="P286" s="326"/>
      <c r="Q286" s="31"/>
      <c r="R286" s="49"/>
      <c r="S286" s="49"/>
      <c r="T286" s="31"/>
      <c r="U286" s="31"/>
      <c r="V286" s="31"/>
    </row>
    <row r="287" spans="1:22" ht="15.75" hidden="1" thickBot="1">
      <c r="A287" s="31"/>
      <c r="B287" s="561">
        <v>4</v>
      </c>
      <c r="C287" s="562">
        <f>canthormed</f>
        <v>36</v>
      </c>
      <c r="D287" s="333" t="s">
        <v>527</v>
      </c>
      <c r="E287" s="335">
        <f>indicejul26*punbashormed</f>
        <v>655896.60384192003</v>
      </c>
      <c r="F287" s="333"/>
      <c r="G287" s="563"/>
      <c r="H287" s="335">
        <f>indicemay26*punbashormed</f>
        <v>636792.81926400005</v>
      </c>
      <c r="I287" s="333"/>
      <c r="J287" s="563"/>
      <c r="K287" s="335">
        <f>indicedic25*punbashormed</f>
        <v>615258.64407461567</v>
      </c>
      <c r="L287" s="333"/>
      <c r="M287" s="563"/>
      <c r="N287" s="335">
        <f>indicedic25*punbashormed</f>
        <v>615258.64407461567</v>
      </c>
      <c r="O287" s="333"/>
      <c r="P287" s="563"/>
      <c r="Q287" s="31"/>
      <c r="R287" s="367"/>
      <c r="S287" s="31"/>
      <c r="T287" s="31"/>
      <c r="U287" s="31"/>
      <c r="V287" s="31"/>
    </row>
    <row r="288" spans="1:22" ht="15.75" hidden="1" thickBot="1">
      <c r="A288" s="31"/>
      <c r="B288" s="564">
        <v>10</v>
      </c>
      <c r="C288" s="565">
        <f>porantighormed</f>
        <v>1.2</v>
      </c>
      <c r="D288" s="328" t="s">
        <v>477</v>
      </c>
      <c r="E288" s="330">
        <f>(E287+E297)*porantighormed</f>
        <v>817075.92461030406</v>
      </c>
      <c r="F288" s="328"/>
      <c r="G288" s="566"/>
      <c r="H288" s="330">
        <f>(H287+H297)*porantighormed</f>
        <v>794151.38311679999</v>
      </c>
      <c r="I288" s="328"/>
      <c r="J288" s="566"/>
      <c r="K288" s="330">
        <f>(K287+K297)*porantighormed</f>
        <v>768310.37288953876</v>
      </c>
      <c r="L288" s="328"/>
      <c r="M288" s="566"/>
      <c r="N288" s="330">
        <f>(N287+N297)*porantighormed</f>
        <v>768310.37288953876</v>
      </c>
      <c r="O288" s="328"/>
      <c r="P288" s="566"/>
      <c r="Q288" s="31"/>
      <c r="R288" s="367"/>
      <c r="S288" s="31"/>
      <c r="T288" s="31"/>
      <c r="U288" s="31"/>
      <c r="V288" s="31"/>
    </row>
    <row r="289" spans="1:22" ht="16.5" hidden="1" thickBot="1">
      <c r="A289" s="31"/>
      <c r="B289" s="561">
        <v>6</v>
      </c>
      <c r="C289" s="567">
        <f>IF(porantighormed&lt;100%,K289/4241.88,K289/4271.53)</f>
        <v>36</v>
      </c>
      <c r="D289" s="333" t="s">
        <v>476</v>
      </c>
      <c r="E289" s="335">
        <f>IF(porantighormed&lt;100%,IF(canthor06med&gt;36,36*4241.88,4241.88*canthor06med),IF(canthor06med&gt;36,36*4271.53,4271.53*canthor06med))*(1+Aumentojulio26)</f>
        <v>163931.92403399997</v>
      </c>
      <c r="F289" s="568"/>
      <c r="G289" s="563"/>
      <c r="H289" s="335">
        <f>IF(porantighormed&lt;100%,IF(canthor06med&gt;36,36*4241.88,4241.88*canthor06med),IF(canthor06med&gt;36,36*4271.53,4271.53*canthor06med))*(1+Aumentomayo26)</f>
        <v>159157.20779999997</v>
      </c>
      <c r="I289" s="568"/>
      <c r="J289" s="563"/>
      <c r="K289" s="335">
        <f>IF(porantighormed&lt;100%,IF(canthor06med&gt;36,36*4241.88,4241.88*canthor06med),IF(canthor06med&gt;36,36*4271.53,4271.53*canthor06med))</f>
        <v>153775.07999999999</v>
      </c>
      <c r="L289" s="568"/>
      <c r="M289" s="563"/>
      <c r="N289" s="335">
        <f>IF(porantighormed&lt;100%,IF(canthor06med&gt;36,36*4241.88,4241.88*canthor06med),IF(canthor06med&gt;36,36*4271.53,4271.53*canthor06med))</f>
        <v>153775.07999999999</v>
      </c>
      <c r="O289" s="568"/>
      <c r="P289" s="563"/>
      <c r="Q289" s="31"/>
      <c r="R289" s="367"/>
      <c r="S289" s="31"/>
      <c r="T289" s="31"/>
      <c r="U289" s="31"/>
      <c r="V289" s="31"/>
    </row>
    <row r="290" spans="1:22" ht="15.75" hidden="1" thickBot="1">
      <c r="A290" s="31"/>
      <c r="B290" s="564">
        <v>14</v>
      </c>
      <c r="C290" s="366">
        <v>7.0000000000000007E-2</v>
      </c>
      <c r="D290" s="328" t="s">
        <v>528</v>
      </c>
      <c r="E290" s="330">
        <f>E289*0.07</f>
        <v>11475.234682379998</v>
      </c>
      <c r="F290" s="569"/>
      <c r="G290" s="566"/>
      <c r="H290" s="330">
        <f>H289*0.07</f>
        <v>11141.004546</v>
      </c>
      <c r="I290" s="569"/>
      <c r="J290" s="566"/>
      <c r="K290" s="330">
        <f>K289*0.07</f>
        <v>10764.2556</v>
      </c>
      <c r="L290" s="569"/>
      <c r="M290" s="566"/>
      <c r="N290" s="330">
        <f>N289*0.07</f>
        <v>10764.2556</v>
      </c>
      <c r="O290" s="569"/>
      <c r="P290" s="566"/>
      <c r="Q290" s="31"/>
      <c r="R290" s="367"/>
      <c r="S290" s="31"/>
      <c r="T290" s="31"/>
      <c r="U290" s="31"/>
      <c r="V290" s="31"/>
    </row>
    <row r="291" spans="1:22" ht="15.75" hidden="1" thickBot="1">
      <c r="A291" s="145"/>
      <c r="B291" s="570">
        <v>18</v>
      </c>
      <c r="C291" s="571">
        <v>18</v>
      </c>
      <c r="D291" s="572" t="s">
        <v>529</v>
      </c>
      <c r="E291" s="572">
        <f>IF(canthormed&gt;18,61229,3401.61111*canthormed)*IF(adichsmedia&gt;1,1,adichsmedia)*(1+Aumentojulio26)</f>
        <v>65273.175449999995</v>
      </c>
      <c r="F291" s="573"/>
      <c r="G291" s="574"/>
      <c r="H291" s="572">
        <f>IF(canthormed&gt;18,61229,3401.61111*canthormed)*IF(adichsmedia&gt;1,1,adichsmedia)*(1+Aumentomayo26)</f>
        <v>63372.014999999992</v>
      </c>
      <c r="I291" s="573"/>
      <c r="J291" s="574"/>
      <c r="K291" s="572">
        <f>IF(canthormed&gt;18,61229,3401.61111*canthormed)*IF(adichsmedia&gt;1,1,adichsmedia)</f>
        <v>61229</v>
      </c>
      <c r="L291" s="573"/>
      <c r="M291" s="574"/>
      <c r="N291" s="572">
        <f>IF(canthormed&gt;18,61229,3401.61111*canthormed)*IF(adichsmedia&gt;1,1,adichsmedia)</f>
        <v>61229</v>
      </c>
      <c r="O291" s="573"/>
      <c r="P291" s="574"/>
      <c r="Q291" s="145"/>
      <c r="R291" s="575"/>
      <c r="S291" s="145"/>
      <c r="T291" s="145"/>
      <c r="U291" s="145"/>
      <c r="V291" s="145"/>
    </row>
    <row r="292" spans="1:22" ht="15.75" hidden="1" thickBot="1">
      <c r="A292" s="31"/>
      <c r="B292" s="561">
        <v>188</v>
      </c>
      <c r="C292" s="349">
        <v>7.0000000000000007E-2</v>
      </c>
      <c r="D292" s="333" t="s">
        <v>479</v>
      </c>
      <c r="E292" s="335">
        <f>(E287+E288+E291+E293+E295+E296+E297)*0.07</f>
        <v>120346.9306516557</v>
      </c>
      <c r="F292" s="576"/>
      <c r="G292" s="563"/>
      <c r="H292" s="335">
        <f>(H287+H288+H291+H293+H295+H296+H297)*0.07</f>
        <v>116953.81616665603</v>
      </c>
      <c r="I292" s="576"/>
      <c r="J292" s="563"/>
      <c r="K292" s="335">
        <f>(K287+K288+K291+K293+K295+K296+K297)*0.07</f>
        <v>113129.03118749081</v>
      </c>
      <c r="L292" s="576"/>
      <c r="M292" s="563"/>
      <c r="N292" s="335">
        <f>(N287+N288+N291+N293+N295+N296+N297)*0.07</f>
        <v>113129.03118749081</v>
      </c>
      <c r="O292" s="576"/>
      <c r="P292" s="563"/>
      <c r="Q292" s="31"/>
      <c r="R292" s="367"/>
      <c r="S292" s="31"/>
      <c r="T292" s="31"/>
      <c r="U292" s="31"/>
      <c r="V292" s="31"/>
    </row>
    <row r="293" spans="1:22" ht="16.5" hidden="1" thickBot="1">
      <c r="A293" s="31"/>
      <c r="B293" s="564">
        <v>78</v>
      </c>
      <c r="C293" s="577">
        <f>C229</f>
        <v>0</v>
      </c>
      <c r="D293" s="328" t="s">
        <v>482</v>
      </c>
      <c r="E293" s="330">
        <f>(E287+E297)*porzonahsmed</f>
        <v>0</v>
      </c>
      <c r="F293" s="822"/>
      <c r="G293" s="566"/>
      <c r="H293" s="330">
        <f>(H287+H297)*porzonahsmed</f>
        <v>0</v>
      </c>
      <c r="I293" s="37"/>
      <c r="J293" s="566"/>
      <c r="K293" s="330">
        <f>(K287+K297)*porzonahsmed</f>
        <v>0</v>
      </c>
      <c r="L293" s="37"/>
      <c r="M293" s="566"/>
      <c r="N293" s="330">
        <f>(N287+N297)*porzonahsmed</f>
        <v>0</v>
      </c>
      <c r="O293" s="37"/>
      <c r="P293" s="566"/>
      <c r="Q293" s="31"/>
      <c r="R293" s="367"/>
      <c r="S293" s="31"/>
      <c r="T293" s="31"/>
      <c r="U293" s="31"/>
      <c r="V293" s="31"/>
    </row>
    <row r="294" spans="1:22" ht="15.75" hidden="1" thickBot="1">
      <c r="A294" s="31"/>
      <c r="B294" s="561">
        <v>29</v>
      </c>
      <c r="C294" s="571">
        <f>cantkmhm</f>
        <v>0</v>
      </c>
      <c r="D294" s="333" t="s">
        <v>486</v>
      </c>
      <c r="E294" s="335">
        <f>kmsemhsmed*2128/15*4</f>
        <v>0</v>
      </c>
      <c r="F294" s="822"/>
      <c r="G294" s="563"/>
      <c r="H294" s="335">
        <f>kmsemhsmed*2128/15*4</f>
        <v>0</v>
      </c>
      <c r="I294" s="37"/>
      <c r="J294" s="563"/>
      <c r="K294" s="335">
        <f>kmsemhsmed*1820/15*4</f>
        <v>0</v>
      </c>
      <c r="L294" s="37"/>
      <c r="M294" s="563"/>
      <c r="N294" s="335">
        <f>kmsemhsmed*1820/15*4</f>
        <v>0</v>
      </c>
      <c r="O294" s="37"/>
      <c r="P294" s="563"/>
      <c r="Q294" s="31"/>
      <c r="R294" s="367"/>
      <c r="S294" s="31"/>
      <c r="T294" s="31"/>
      <c r="U294" s="31"/>
      <c r="V294" s="31"/>
    </row>
    <row r="295" spans="1:22" ht="15.75" hidden="1" thickBot="1">
      <c r="A295" s="145"/>
      <c r="B295" s="570">
        <v>117</v>
      </c>
      <c r="C295" s="578"/>
      <c r="D295" s="578" t="s">
        <v>484</v>
      </c>
      <c r="E295" s="572">
        <f>IF(canthormed*1441.53333&gt;43246,43246,canthormed*1441.53333)*(1+Aumentojulio26)</f>
        <v>46102.398300000001</v>
      </c>
      <c r="F295" s="579"/>
      <c r="G295" s="580"/>
      <c r="H295" s="572">
        <f>IF(canthormed*1441.53333&gt;43246,43246,canthormed*1441.53333)*(1+Aumentomayo26)</f>
        <v>44759.609999999993</v>
      </c>
      <c r="I295" s="579"/>
      <c r="J295" s="580"/>
      <c r="K295" s="572">
        <f>IF(canthormed*1441.53333&gt;43246,43246,canthormed*1441.53333)</f>
        <v>43246</v>
      </c>
      <c r="L295" s="579"/>
      <c r="M295" s="580"/>
      <c r="N295" s="572">
        <f>IF(canthormed*1441.53333&gt;43246,43246,canthormed*1441.53333)</f>
        <v>43246</v>
      </c>
      <c r="O295" s="579"/>
      <c r="P295" s="580"/>
      <c r="Q295" s="145"/>
      <c r="R295" s="575"/>
      <c r="S295" s="145"/>
      <c r="T295" s="145"/>
      <c r="U295" s="145"/>
      <c r="V295" s="145"/>
    </row>
    <row r="296" spans="1:22" ht="15.75" hidden="1" thickBot="1">
      <c r="A296" s="145"/>
      <c r="B296" s="581">
        <v>38</v>
      </c>
      <c r="C296" s="582">
        <f>C232</f>
        <v>15</v>
      </c>
      <c r="D296" s="583" t="s">
        <v>531</v>
      </c>
      <c r="E296" s="584">
        <f>IF($C296="",IF(canthormed&lt;15,6872.3333*canthormed,103085),IF($C296&lt;15,6872.3333*$C296,103085))*(1+Aumentojulio26)</f>
        <v>109893.76424999999</v>
      </c>
      <c r="F296" s="400"/>
      <c r="G296" s="585"/>
      <c r="H296" s="584">
        <f>IF($C296="",IF(canthormed&lt;15,6872.3333*canthormed,103085),IF($C296&lt;15,6872.3333*$C296,103085))*(1+Aumentomayo26)</f>
        <v>106692.97499999999</v>
      </c>
      <c r="I296" s="400"/>
      <c r="J296" s="585"/>
      <c r="K296" s="584">
        <f>IF($C296="",IF(canthormed&lt;15,6872.3333*canthormed,103085),IF($C296&lt;15,6872.3333*$C296,103085))</f>
        <v>103085</v>
      </c>
      <c r="L296" s="400"/>
      <c r="M296" s="585"/>
      <c r="N296" s="584">
        <f>IF($C296="",IF(canthormed&lt;15,6872.3333*canthormed,103085),IF($C296&lt;15,6872.3333*$C296,103085))</f>
        <v>103085</v>
      </c>
      <c r="O296" s="400"/>
      <c r="P296" s="585"/>
      <c r="Q296" s="145"/>
      <c r="R296" s="586"/>
      <c r="S296" s="145"/>
      <c r="T296" s="145"/>
      <c r="U296" s="145"/>
      <c r="V296" s="145"/>
    </row>
    <row r="297" spans="1:22" ht="15.75" hidden="1" thickBot="1">
      <c r="A297" s="31"/>
      <c r="B297" s="362">
        <v>25</v>
      </c>
      <c r="C297" s="256">
        <f>C233</f>
        <v>1</v>
      </c>
      <c r="D297" s="363" t="s">
        <v>485</v>
      </c>
      <c r="E297" s="587">
        <f>IF(AND(porantighormed&gt;=0.5,$C297=1),IF(canthormed&gt;15,25000,1666.6666*canthormed),0)</f>
        <v>25000</v>
      </c>
      <c r="F297" s="328"/>
      <c r="G297" s="588"/>
      <c r="H297" s="587">
        <f>IF(AND(porantighormed&gt;=0.5,$C297=1),IF(canthormed&gt;15,25000,1666.6666*canthormed),0)</f>
        <v>25000</v>
      </c>
      <c r="I297" s="328"/>
      <c r="J297" s="588"/>
      <c r="K297" s="587">
        <f>IF(AND(porantighormed&gt;=0.5,$C297=1),IF(canthormed&gt;15,25000,1666.6666*canthormed),0)</f>
        <v>25000</v>
      </c>
      <c r="L297" s="328"/>
      <c r="M297" s="588"/>
      <c r="N297" s="587">
        <f>IF(AND(porantighormed&gt;=0.5,$C297=1),IF(canthormed&gt;15,25000,1666.6666*canthormed),0)</f>
        <v>25000</v>
      </c>
      <c r="O297" s="328"/>
      <c r="P297" s="588"/>
      <c r="Q297" s="31"/>
      <c r="R297" s="589"/>
      <c r="S297" s="31"/>
      <c r="T297" s="31"/>
      <c r="U297" s="31"/>
      <c r="V297" s="31"/>
    </row>
    <row r="298" spans="1:22" ht="16.5" hidden="1" thickBot="1">
      <c r="A298" s="31"/>
      <c r="B298" s="564"/>
      <c r="C298" s="590"/>
      <c r="D298" s="374" t="s">
        <v>532</v>
      </c>
      <c r="E298" s="591">
        <f>SUM(E287:E297)</f>
        <v>2014995.9558202596</v>
      </c>
      <c r="F298" s="896"/>
      <c r="G298" s="592"/>
      <c r="H298" s="591">
        <f>SUM(H287:H297)</f>
        <v>1958020.8308934562</v>
      </c>
      <c r="I298" s="896"/>
      <c r="J298" s="592"/>
      <c r="K298" s="591">
        <f>SUM(K287:K297)</f>
        <v>1893797.3837516452</v>
      </c>
      <c r="L298" s="328"/>
      <c r="M298" s="592"/>
      <c r="N298" s="591">
        <f>SUM(N287:N297)</f>
        <v>1893797.3837516452</v>
      </c>
      <c r="O298" s="328"/>
      <c r="P298" s="592"/>
      <c r="Q298" s="31"/>
      <c r="R298" s="589"/>
      <c r="S298" s="31"/>
      <c r="T298" s="31"/>
      <c r="U298" s="31"/>
      <c r="V298" s="31"/>
    </row>
    <row r="299" spans="1:22" ht="15.75" hidden="1" thickBot="1">
      <c r="A299" s="31"/>
      <c r="B299" s="593" t="s">
        <v>533</v>
      </c>
      <c r="C299" s="328"/>
      <c r="D299" s="328"/>
      <c r="E299" s="594">
        <f>E236</f>
        <v>0</v>
      </c>
      <c r="F299" s="400"/>
      <c r="G299" s="595"/>
      <c r="H299" s="594">
        <f>H236</f>
        <v>0</v>
      </c>
      <c r="I299" s="400"/>
      <c r="J299" s="595"/>
      <c r="K299" s="594">
        <f>K236</f>
        <v>0</v>
      </c>
      <c r="L299" s="400"/>
      <c r="M299" s="595"/>
      <c r="N299" s="594">
        <f>N236</f>
        <v>0</v>
      </c>
      <c r="O299" s="400"/>
      <c r="P299" s="595"/>
      <c r="Q299" s="31"/>
      <c r="R299" s="589"/>
      <c r="S299" s="31"/>
      <c r="T299" s="31"/>
      <c r="U299" s="31"/>
      <c r="V299" s="31"/>
    </row>
    <row r="300" spans="1:22" ht="16.5" hidden="1" thickBot="1">
      <c r="A300" s="31"/>
      <c r="B300" s="564">
        <v>184</v>
      </c>
      <c r="C300" s="843">
        <f>K300/2450.16</f>
        <v>29.999999999999996</v>
      </c>
      <c r="D300" s="328" t="s">
        <v>490</v>
      </c>
      <c r="E300" s="330">
        <f>IF(canthorincmed*3404.67&gt;102139,102139,canthorincmed*3404.67)</f>
        <v>102139</v>
      </c>
      <c r="F300" s="822"/>
      <c r="G300" s="566"/>
      <c r="H300" s="330">
        <f>IF(canthorincmed*2450.16&gt;73504.8,73504.8,canthorincmed*2450.16)</f>
        <v>73504.799999999988</v>
      </c>
      <c r="I300" s="37"/>
      <c r="J300" s="566"/>
      <c r="K300" s="330">
        <f>IF(canthorincmed*2450.16&gt;73504.8,73504.8,canthorincmed*2450.16)</f>
        <v>73504.799999999988</v>
      </c>
      <c r="L300" s="37"/>
      <c r="M300" s="566"/>
      <c r="N300" s="330">
        <f>IF(canthorincmed*2450.16&gt;73504.8,73504.8,canthorincmed*2450.16)</f>
        <v>73504.799999999988</v>
      </c>
      <c r="O300" s="37"/>
      <c r="P300" s="566"/>
      <c r="Q300" s="31"/>
      <c r="R300" s="367"/>
      <c r="S300" s="31"/>
      <c r="T300" s="31"/>
      <c r="U300" s="31"/>
      <c r="V300" s="31"/>
    </row>
    <row r="301" spans="1:22" ht="16.5" hidden="1" thickBot="1">
      <c r="A301" s="31"/>
      <c r="B301" s="564">
        <v>204</v>
      </c>
      <c r="C301" s="843">
        <f>K301/1830.24</f>
        <v>30</v>
      </c>
      <c r="D301" s="328" t="s">
        <v>491</v>
      </c>
      <c r="E301" s="330">
        <f>IF(canthorincmed*2543.27&gt;76297,76297,canthorincmed*2543.27)</f>
        <v>76297</v>
      </c>
      <c r="F301" s="596"/>
      <c r="G301" s="566"/>
      <c r="H301" s="330">
        <f>IF(canthorincmed*1830.24&gt;54907.2,54907.2,canthorincmed*1830.24)</f>
        <v>54907.199999999997</v>
      </c>
      <c r="I301" s="596"/>
      <c r="J301" s="566"/>
      <c r="K301" s="330">
        <f>IF(canthorincmed*1830.24&gt;54907.2,54907.2,canthorincmed*1830.24)</f>
        <v>54907.199999999997</v>
      </c>
      <c r="L301" s="596"/>
      <c r="M301" s="566"/>
      <c r="N301" s="330">
        <f>IF(canthorincmed*1830.24&gt;54907.2,54907.2,canthorincmed*1830.24)</f>
        <v>54907.199999999997</v>
      </c>
      <c r="O301" s="596"/>
      <c r="P301" s="566"/>
      <c r="Q301" s="31"/>
      <c r="R301" s="367"/>
      <c r="S301" s="31"/>
      <c r="T301" s="31"/>
      <c r="U301" s="31"/>
      <c r="V301" s="31"/>
    </row>
    <row r="302" spans="1:22" ht="16.5" hidden="1" thickBot="1">
      <c r="A302" s="31"/>
      <c r="B302" s="564">
        <v>234</v>
      </c>
      <c r="C302" s="843">
        <f>H302/2400</f>
        <v>15</v>
      </c>
      <c r="D302" s="328" t="s">
        <v>551</v>
      </c>
      <c r="E302" s="344">
        <f>IF(canthorincmed*2400&gt;36000,36000,canthorincmed*2400)</f>
        <v>36000</v>
      </c>
      <c r="F302" s="596"/>
      <c r="G302" s="566"/>
      <c r="H302" s="344">
        <f>IF(canthorincmed*2400&gt;36000,36000,canthorincmed*2400)</f>
        <v>36000</v>
      </c>
      <c r="I302" s="596"/>
      <c r="J302" s="566"/>
      <c r="K302" s="344">
        <f>IF(canthorincmed*2400&gt;36000,36000,canthorincmed*2400)</f>
        <v>36000</v>
      </c>
      <c r="L302" s="596"/>
      <c r="M302" s="566"/>
      <c r="N302" s="330"/>
      <c r="O302" s="596"/>
      <c r="P302" s="566"/>
      <c r="Q302" s="31"/>
      <c r="R302" s="367"/>
      <c r="S302" s="31"/>
      <c r="T302" s="31"/>
      <c r="U302" s="31"/>
      <c r="V302" s="31"/>
    </row>
    <row r="303" spans="1:22" ht="16.5" hidden="1" thickBot="1">
      <c r="A303" s="31"/>
      <c r="B303" s="564">
        <v>244</v>
      </c>
      <c r="C303" s="843">
        <f>H303/1600</f>
        <v>15</v>
      </c>
      <c r="D303" s="328" t="s">
        <v>552</v>
      </c>
      <c r="E303" s="330">
        <f>IF(canthorincmed*1600&gt;24000,24000,canthorincmed*1600)</f>
        <v>24000</v>
      </c>
      <c r="F303" s="328"/>
      <c r="G303" s="566"/>
      <c r="H303" s="330">
        <f>IF(canthorincmed*1600&gt;24000,24000,canthorincmed*1600)</f>
        <v>24000</v>
      </c>
      <c r="I303" s="328"/>
      <c r="J303" s="566"/>
      <c r="K303" s="330">
        <f>IF(canthorincmed*1600&gt;24000,24000,canthorincmed*1600)</f>
        <v>24000</v>
      </c>
      <c r="L303" s="328"/>
      <c r="M303" s="566"/>
      <c r="N303" s="272"/>
      <c r="O303" s="328"/>
      <c r="P303" s="566"/>
      <c r="Q303" s="31"/>
      <c r="R303" s="589"/>
      <c r="S303" s="31"/>
      <c r="T303" s="31"/>
      <c r="U303" s="31"/>
      <c r="V303" s="31"/>
    </row>
    <row r="304" spans="1:22" ht="16.5" hidden="1" thickBot="1">
      <c r="A304" s="31"/>
      <c r="B304" s="349"/>
      <c r="C304" s="376" t="s">
        <v>534</v>
      </c>
      <c r="D304" s="376"/>
      <c r="E304" s="597">
        <f>SUM(E298:E303)</f>
        <v>2253431.9558202596</v>
      </c>
      <c r="F304" s="333"/>
      <c r="G304" s="598"/>
      <c r="H304" s="597">
        <f>SUM(H298:H303)</f>
        <v>2146432.830893456</v>
      </c>
      <c r="I304" s="333"/>
      <c r="J304" s="598"/>
      <c r="K304" s="597">
        <f>SUM(K298:K303)</f>
        <v>2082209.3837516452</v>
      </c>
      <c r="L304" s="333"/>
      <c r="M304" s="598"/>
      <c r="N304" s="597">
        <f>SUM(N298:N303)</f>
        <v>2022209.3837516452</v>
      </c>
      <c r="O304" s="333"/>
      <c r="P304" s="598"/>
      <c r="Q304" s="31"/>
      <c r="R304" s="404"/>
      <c r="S304" s="31"/>
      <c r="T304" s="31"/>
      <c r="U304" s="31"/>
      <c r="V304" s="31"/>
    </row>
    <row r="305" spans="1:22" ht="21" hidden="1" thickBot="1">
      <c r="A305" s="31"/>
      <c r="B305" s="366">
        <v>440</v>
      </c>
      <c r="C305" s="326"/>
      <c r="D305" s="328" t="s">
        <v>493</v>
      </c>
      <c r="E305" s="599">
        <f>E242</f>
        <v>0</v>
      </c>
      <c r="F305" s="366">
        <f>-E305</f>
        <v>0</v>
      </c>
      <c r="G305" s="566"/>
      <c r="H305" s="599">
        <f>H242</f>
        <v>0</v>
      </c>
      <c r="I305" s="366">
        <f>-H305</f>
        <v>0</v>
      </c>
      <c r="J305" s="566"/>
      <c r="K305" s="599">
        <f>K242</f>
        <v>0</v>
      </c>
      <c r="L305" s="366">
        <f>-K305</f>
        <v>0</v>
      </c>
      <c r="M305" s="566"/>
      <c r="N305" s="599">
        <f>N242</f>
        <v>0</v>
      </c>
      <c r="O305" s="366">
        <f>-N305</f>
        <v>0</v>
      </c>
      <c r="P305" s="566"/>
      <c r="Q305" s="31"/>
      <c r="R305" s="589"/>
      <c r="S305" s="76"/>
      <c r="T305" s="31"/>
      <c r="U305" s="31"/>
      <c r="V305" s="31"/>
    </row>
    <row r="306" spans="1:22" ht="15.75" hidden="1" thickBot="1">
      <c r="A306" s="31"/>
      <c r="B306" s="349">
        <v>502</v>
      </c>
      <c r="C306" s="378">
        <v>0.16</v>
      </c>
      <c r="D306" s="335" t="s">
        <v>535</v>
      </c>
      <c r="E306" s="335"/>
      <c r="F306" s="349">
        <f>-(E287+E288+E292+E293+E289+E290+E291+F305+E295+E296+E297)*0.19</f>
        <v>-382849.23160584935</v>
      </c>
      <c r="G306" s="600"/>
      <c r="H306" s="335"/>
      <c r="I306" s="349">
        <f>-(H287+H288+H292+H293+H289+H290+H291+I305+H295+H296+H297)*0.19</f>
        <v>-372023.95786975668</v>
      </c>
      <c r="J306" s="600"/>
      <c r="K306" s="335"/>
      <c r="L306" s="349">
        <f>-(K287+K288+K292+K293+K289+K290+K291+L305+K295+K296+K297)*0.19</f>
        <v>-359821.50291281258</v>
      </c>
      <c r="M306" s="600"/>
      <c r="N306" s="335"/>
      <c r="O306" s="349">
        <f>-(N287+N288+N292+N293+N289+N290+N291+O305+N295+N296+N297)*0.19</f>
        <v>-359821.50291281258</v>
      </c>
      <c r="P306" s="600"/>
      <c r="Q306" s="31"/>
      <c r="R306" s="367"/>
      <c r="S306" s="31"/>
      <c r="T306" s="31"/>
      <c r="U306" s="31"/>
      <c r="V306" s="31"/>
    </row>
    <row r="307" spans="1:22" ht="15.75" hidden="1" thickBot="1">
      <c r="A307" s="31"/>
      <c r="B307" s="349">
        <v>505</v>
      </c>
      <c r="C307" s="601">
        <v>0.03</v>
      </c>
      <c r="D307" s="335" t="s">
        <v>536</v>
      </c>
      <c r="E307" s="335"/>
      <c r="F307" s="349">
        <f>-(E287+E288+E292+E293+E289+E290+E291+F305+E295+E296+E297)*0.03</f>
        <v>-60449.878674607789</v>
      </c>
      <c r="G307" s="600"/>
      <c r="H307" s="335"/>
      <c r="I307" s="349">
        <f>-(H287+H288+H292+H293+H289+H290+H291+I305+H295+H296+H297)*0.03</f>
        <v>-58740.624926803685</v>
      </c>
      <c r="J307" s="600"/>
      <c r="K307" s="335"/>
      <c r="L307" s="349">
        <f>-(K287+K288+K292+K293+K289+K290+K291+L305+K295+K296+K297)*0.03</f>
        <v>-56813.921512549357</v>
      </c>
      <c r="M307" s="600"/>
      <c r="N307" s="335"/>
      <c r="O307" s="349">
        <f>-(N287+N288+N292+N293+N289+N290+N291+O305+N295+N296+N297)*0.03</f>
        <v>-56813.921512549357</v>
      </c>
      <c r="P307" s="600"/>
      <c r="Q307" s="31"/>
      <c r="R307" s="367"/>
      <c r="S307" s="31"/>
      <c r="T307" s="31"/>
      <c r="U307" s="31"/>
      <c r="V307" s="31"/>
    </row>
    <row r="308" spans="1:22" ht="16.5" hidden="1" thickBot="1">
      <c r="A308" s="31"/>
      <c r="B308" s="384">
        <v>332</v>
      </c>
      <c r="C308" s="577">
        <f>C245</f>
        <v>0</v>
      </c>
      <c r="D308" s="330" t="s">
        <v>498</v>
      </c>
      <c r="E308" s="330"/>
      <c r="F308" s="366">
        <f>-(E287+E288+E292+E289+E293+E291+E290+E291+F305+E295+E296+E297)*$C308</f>
        <v>0</v>
      </c>
      <c r="G308" s="602"/>
      <c r="H308" s="330"/>
      <c r="I308" s="366">
        <f>-(H287+H288+H292+H289+H293+H291+H290+H291+I305+H295+H296+H297)*$C308</f>
        <v>0</v>
      </c>
      <c r="J308" s="602"/>
      <c r="K308" s="330"/>
      <c r="L308" s="366">
        <f>-(K287+K288+K292+K289+K293+K291+K290+K291+L305+K295+K296+K297)*$C308</f>
        <v>0</v>
      </c>
      <c r="M308" s="602"/>
      <c r="N308" s="330"/>
      <c r="O308" s="366">
        <f>-(N287+N288+N292+N289+N293+N291+N290+N291+O305+N295+N296+N297)*$C308</f>
        <v>0</v>
      </c>
      <c r="P308" s="602"/>
      <c r="Q308" s="31"/>
      <c r="R308" s="367"/>
      <c r="S308" s="31"/>
      <c r="T308" s="31"/>
      <c r="U308" s="31"/>
      <c r="V308" s="31"/>
    </row>
    <row r="309" spans="1:22" ht="16.5" hidden="1" thickBot="1">
      <c r="A309" s="31"/>
      <c r="B309" s="368" t="s">
        <v>499</v>
      </c>
      <c r="C309" s="577">
        <f>C246</f>
        <v>0</v>
      </c>
      <c r="D309" s="333"/>
      <c r="E309" s="333"/>
      <c r="F309" s="349">
        <f>-(E287+E288+E292+E293+E289+E290+E291+F305+E295)*$C309</f>
        <v>0</v>
      </c>
      <c r="G309" s="563"/>
      <c r="H309" s="333"/>
      <c r="I309" s="349">
        <f>-(H287+H288+H292+H293+H289+H290+H291+I305+H295)*$C309</f>
        <v>0</v>
      </c>
      <c r="J309" s="563"/>
      <c r="K309" s="333"/>
      <c r="L309" s="349">
        <f>-(K287+K288+K292+K293+K289+K290+K291+L305+K295)*$C309</f>
        <v>0</v>
      </c>
      <c r="M309" s="563"/>
      <c r="N309" s="333"/>
      <c r="O309" s="349">
        <f>-(N287+N288+N292+N293+N289+N290+N291+O305+N295)*$C309</f>
        <v>0</v>
      </c>
      <c r="P309" s="563"/>
      <c r="Q309" s="31"/>
      <c r="R309" s="31"/>
      <c r="S309" s="31"/>
      <c r="T309" s="31"/>
      <c r="U309" s="31"/>
      <c r="V309" s="31"/>
    </row>
    <row r="310" spans="1:22" ht="16.5" hidden="1" thickBot="1">
      <c r="A310" s="31"/>
      <c r="B310" s="326"/>
      <c r="C310" s="326"/>
      <c r="D310" s="389" t="s">
        <v>500</v>
      </c>
      <c r="E310" s="326"/>
      <c r="F310" s="269">
        <f>SUM(F306:F309)</f>
        <v>-443299.11028045713</v>
      </c>
      <c r="G310" s="603"/>
      <c r="H310" s="326"/>
      <c r="I310" s="269">
        <f>SUM(I306:I309)</f>
        <v>-430764.58279656037</v>
      </c>
      <c r="J310" s="603"/>
      <c r="K310" s="326"/>
      <c r="L310" s="269">
        <f>SUM(L306:L309)</f>
        <v>-416635.42442536191</v>
      </c>
      <c r="M310" s="603"/>
      <c r="N310" s="326"/>
      <c r="O310" s="269">
        <f>SUM(O306:O309)</f>
        <v>-416635.42442536191</v>
      </c>
      <c r="P310" s="603"/>
      <c r="Q310" s="31"/>
      <c r="R310" s="49"/>
      <c r="S310" s="49"/>
      <c r="T310" s="31"/>
      <c r="U310" s="31"/>
      <c r="V310" s="31"/>
    </row>
    <row r="311" spans="1:22" ht="15.75" hidden="1" thickBot="1">
      <c r="A311" s="31"/>
      <c r="B311" s="366"/>
      <c r="C311" s="328"/>
      <c r="D311" s="328"/>
      <c r="E311" s="328"/>
      <c r="F311" s="328"/>
      <c r="G311" s="566"/>
      <c r="H311" s="328"/>
      <c r="I311" s="328"/>
      <c r="J311" s="566"/>
      <c r="K311" s="328"/>
      <c r="L311" s="328"/>
      <c r="M311" s="566"/>
      <c r="N311" s="328"/>
      <c r="O311" s="328"/>
      <c r="P311" s="566"/>
      <c r="Q311" s="31"/>
      <c r="R311" s="31"/>
      <c r="S311" s="31"/>
      <c r="T311" s="31"/>
      <c r="U311" s="31"/>
      <c r="V311" s="31"/>
    </row>
    <row r="312" spans="1:22" ht="24" hidden="1" thickBot="1">
      <c r="A312" s="31"/>
      <c r="B312" s="366"/>
      <c r="C312" s="328"/>
      <c r="D312" s="389"/>
      <c r="E312" s="389" t="s">
        <v>504</v>
      </c>
      <c r="F312" s="390">
        <f>E304+F310</f>
        <v>1810132.8455398025</v>
      </c>
      <c r="G312" s="603"/>
      <c r="H312" s="389" t="s">
        <v>504</v>
      </c>
      <c r="I312" s="390">
        <f>H304+I310</f>
        <v>1715668.2480968956</v>
      </c>
      <c r="J312" s="603"/>
      <c r="K312" s="389" t="s">
        <v>504</v>
      </c>
      <c r="L312" s="390">
        <f>K304+L310</f>
        <v>1665573.9593262833</v>
      </c>
      <c r="M312" s="603"/>
      <c r="N312" s="389" t="s">
        <v>504</v>
      </c>
      <c r="O312" s="390">
        <f>N304+O310</f>
        <v>1605573.9593262833</v>
      </c>
      <c r="P312" s="603"/>
      <c r="Q312" s="604"/>
      <c r="R312" s="31"/>
      <c r="S312" s="31"/>
      <c r="T312" s="31"/>
      <c r="U312" s="31"/>
      <c r="V312" s="31"/>
    </row>
    <row r="313" spans="1:22" ht="24" hidden="1" thickBot="1">
      <c r="A313" s="31"/>
      <c r="B313" s="605"/>
      <c r="C313" s="328"/>
      <c r="D313" s="389"/>
      <c r="E313" s="389"/>
      <c r="F313" s="606"/>
      <c r="G313" s="603"/>
      <c r="H313" s="389"/>
      <c r="I313" s="606"/>
      <c r="J313" s="603"/>
      <c r="K313" s="389"/>
      <c r="L313" s="606"/>
      <c r="M313" s="603"/>
      <c r="N313" s="389"/>
      <c r="O313" s="606"/>
      <c r="P313" s="603"/>
      <c r="Q313" s="31"/>
      <c r="R313" s="96"/>
      <c r="S313" s="604"/>
      <c r="T313" s="31"/>
      <c r="U313" s="31"/>
      <c r="V313" s="31"/>
    </row>
    <row r="314" spans="1:22" ht="18.75" hidden="1" thickBot="1">
      <c r="A314" s="31"/>
      <c r="B314" s="384"/>
      <c r="C314" s="389"/>
      <c r="D314" s="607"/>
      <c r="E314" s="394" t="s">
        <v>506</v>
      </c>
      <c r="F314" s="395">
        <f>F312-I312</f>
        <v>94464.597442906816</v>
      </c>
      <c r="G314" s="608"/>
      <c r="H314" s="394" t="s">
        <v>506</v>
      </c>
      <c r="I314" s="395">
        <f>I312-L312</f>
        <v>50094.288770612329</v>
      </c>
      <c r="J314" s="608"/>
      <c r="K314" s="394" t="s">
        <v>506</v>
      </c>
      <c r="L314" s="395">
        <f>L312-O312</f>
        <v>60000</v>
      </c>
      <c r="M314" s="608"/>
      <c r="N314" s="394" t="s">
        <v>506</v>
      </c>
      <c r="O314" s="395"/>
      <c r="P314" s="608"/>
      <c r="Q314" s="609"/>
      <c r="R314" s="399"/>
      <c r="S314" s="398"/>
      <c r="T314" s="609"/>
      <c r="U314" s="31"/>
      <c r="V314" s="31"/>
    </row>
    <row r="315" spans="1:22" ht="18.75" hidden="1" thickBot="1">
      <c r="A315" s="31"/>
      <c r="B315" s="384"/>
      <c r="C315" s="389"/>
      <c r="D315" s="607"/>
      <c r="E315" s="394" t="s">
        <v>507</v>
      </c>
      <c r="F315" s="397">
        <f>F314/I312</f>
        <v>5.5059943871836318E-2</v>
      </c>
      <c r="G315" s="608"/>
      <c r="H315" s="394" t="s">
        <v>507</v>
      </c>
      <c r="I315" s="397">
        <f>I314/L312</f>
        <v>3.0076292013400133E-2</v>
      </c>
      <c r="J315" s="608"/>
      <c r="K315" s="394" t="s">
        <v>507</v>
      </c>
      <c r="L315" s="397">
        <f>L314/O312</f>
        <v>3.7369813860942708E-2</v>
      </c>
      <c r="M315" s="608"/>
      <c r="N315" s="394" t="s">
        <v>507</v>
      </c>
      <c r="O315" s="397"/>
      <c r="P315" s="608"/>
      <c r="Q315" s="609"/>
      <c r="R315" s="399"/>
      <c r="S315" s="398"/>
      <c r="T315" s="609"/>
      <c r="U315" s="31"/>
      <c r="V315" s="31"/>
    </row>
    <row r="316" spans="1:22" ht="18.75" hidden="1" thickBot="1">
      <c r="A316" s="31"/>
      <c r="B316" s="384"/>
      <c r="C316" s="389"/>
      <c r="D316" s="607"/>
      <c r="E316" s="400"/>
      <c r="F316" s="610"/>
      <c r="G316" s="607"/>
      <c r="H316" s="400"/>
      <c r="I316" s="610"/>
      <c r="J316" s="607"/>
      <c r="K316" s="400"/>
      <c r="L316" s="610"/>
      <c r="M316" s="607"/>
      <c r="N316" s="400"/>
      <c r="O316" s="610"/>
      <c r="P316" s="607"/>
      <c r="Q316" s="609"/>
      <c r="R316" s="399"/>
      <c r="S316" s="398"/>
      <c r="T316" s="609"/>
      <c r="U316" s="31"/>
      <c r="V316" s="31"/>
    </row>
    <row r="317" spans="1:22" ht="18.75" hidden="1" thickBot="1">
      <c r="A317" s="31"/>
      <c r="B317" s="384"/>
      <c r="C317" s="389"/>
      <c r="D317" s="607"/>
      <c r="E317" s="405" t="s">
        <v>537</v>
      </c>
      <c r="F317" s="406">
        <f>F312-$O312</f>
        <v>204558.88621351914</v>
      </c>
      <c r="G317" s="377"/>
      <c r="H317" s="405" t="s">
        <v>537</v>
      </c>
      <c r="I317" s="406">
        <f>I312-$O312</f>
        <v>110094.28877061233</v>
      </c>
      <c r="J317" s="377"/>
      <c r="K317" s="405" t="s">
        <v>537</v>
      </c>
      <c r="L317" s="406">
        <f>L312-$O312</f>
        <v>60000</v>
      </c>
      <c r="M317" s="377"/>
      <c r="N317" s="405" t="s">
        <v>537</v>
      </c>
      <c r="O317" s="406"/>
      <c r="P317" s="377"/>
      <c r="Q317" s="609"/>
      <c r="R317" s="399"/>
      <c r="S317" s="398"/>
      <c r="T317" s="609"/>
      <c r="U317" s="31"/>
      <c r="V317" s="31"/>
    </row>
    <row r="318" spans="1:22" ht="18.75" hidden="1" thickBot="1">
      <c r="A318" s="31"/>
      <c r="B318" s="384"/>
      <c r="C318" s="389"/>
      <c r="D318" s="607"/>
      <c r="E318" s="405" t="s">
        <v>509</v>
      </c>
      <c r="F318" s="407">
        <f>F317/$O312</f>
        <v>0.12740545835668282</v>
      </c>
      <c r="G318" s="377"/>
      <c r="H318" s="405" t="s">
        <v>509</v>
      </c>
      <c r="I318" s="407">
        <f>I317/$O312</f>
        <v>6.857005130851096E-2</v>
      </c>
      <c r="J318" s="377"/>
      <c r="K318" s="405" t="s">
        <v>509</v>
      </c>
      <c r="L318" s="407">
        <f>L317/$O312</f>
        <v>3.7369813860942708E-2</v>
      </c>
      <c r="M318" s="377"/>
      <c r="N318" s="405" t="s">
        <v>509</v>
      </c>
      <c r="O318" s="407"/>
      <c r="P318" s="377"/>
      <c r="Q318" s="609"/>
      <c r="R318" s="399"/>
      <c r="S318" s="398"/>
      <c r="T318" s="609"/>
      <c r="U318" s="31"/>
      <c r="V318" s="31"/>
    </row>
    <row r="319" spans="1:22" ht="18.75" hidden="1" thickBot="1">
      <c r="A319" s="31"/>
      <c r="B319" s="384"/>
      <c r="C319" s="389"/>
      <c r="D319" s="607"/>
      <c r="E319" s="328"/>
      <c r="F319" s="328"/>
      <c r="G319" s="608"/>
      <c r="H319" s="328"/>
      <c r="I319" s="328"/>
      <c r="J319" s="608"/>
      <c r="K319" s="328"/>
      <c r="L319" s="328"/>
      <c r="M319" s="608"/>
      <c r="N319" s="328"/>
      <c r="O319" s="328"/>
      <c r="P319" s="608"/>
      <c r="Q319" s="609"/>
      <c r="R319" s="399"/>
      <c r="S319" s="398"/>
      <c r="T319" s="609"/>
      <c r="U319" s="31"/>
      <c r="V319" s="31"/>
    </row>
    <row r="320" spans="1:22" ht="18.75" hidden="1" thickBot="1">
      <c r="A320" s="31"/>
      <c r="B320" s="384"/>
      <c r="C320" s="389"/>
      <c r="D320" s="607"/>
      <c r="E320" s="309" t="s">
        <v>501</v>
      </c>
      <c r="F320" s="406">
        <f>(F312-E300-E301-E302-E303)-(I312-H300-H301-H302-H303)</f>
        <v>44440.597442906816</v>
      </c>
      <c r="G320" s="377"/>
      <c r="H320" s="309" t="s">
        <v>501</v>
      </c>
      <c r="I320" s="406">
        <f>(I312-H300-H301-H302-H303)-(L312-K300-K301-K302-K303)</f>
        <v>50094.288770612329</v>
      </c>
      <c r="J320" s="377"/>
      <c r="K320" s="309" t="s">
        <v>501</v>
      </c>
      <c r="L320" s="406">
        <f>(L312-K300-K301-K302-K303)-(O312-N300-N301-N302-N303)</f>
        <v>0</v>
      </c>
      <c r="M320" s="377"/>
      <c r="N320" s="309" t="s">
        <v>501</v>
      </c>
      <c r="O320" s="406"/>
      <c r="P320" s="377"/>
      <c r="Q320" s="609"/>
      <c r="R320" s="399"/>
      <c r="S320" s="398"/>
      <c r="T320" s="609"/>
      <c r="U320" s="31"/>
      <c r="V320" s="31"/>
    </row>
    <row r="321" spans="1:22" ht="18.75" hidden="1" thickBot="1">
      <c r="A321" s="31"/>
      <c r="B321" s="384"/>
      <c r="C321" s="389"/>
      <c r="D321" s="607"/>
      <c r="E321" s="311" t="s">
        <v>508</v>
      </c>
      <c r="F321" s="407">
        <f>F320/(F312-E300-E301-E302-E303)</f>
        <v>2.8275552991673534E-2</v>
      </c>
      <c r="G321" s="377"/>
      <c r="H321" s="311" t="s">
        <v>508</v>
      </c>
      <c r="I321" s="407">
        <f>I320/($O312-$N300-$N301-$N302-$N303)</f>
        <v>3.3912522898612796E-2</v>
      </c>
      <c r="J321" s="377"/>
      <c r="K321" s="311" t="s">
        <v>508</v>
      </c>
      <c r="L321" s="407">
        <f>L320/($O312-$N300-$N301-$N303)</f>
        <v>0</v>
      </c>
      <c r="M321" s="377"/>
      <c r="N321" s="311" t="s">
        <v>508</v>
      </c>
      <c r="O321" s="407"/>
      <c r="P321" s="377"/>
      <c r="Q321" s="609"/>
      <c r="R321" s="399"/>
      <c r="S321" s="398"/>
      <c r="T321" s="609"/>
      <c r="U321" s="31"/>
      <c r="V321" s="31"/>
    </row>
    <row r="322" spans="1:22" ht="18.75" hidden="1" thickBot="1">
      <c r="A322" s="31"/>
      <c r="B322" s="384"/>
      <c r="C322" s="389"/>
      <c r="D322" s="607"/>
      <c r="E322" s="374"/>
      <c r="F322" s="611"/>
      <c r="G322" s="608"/>
      <c r="H322" s="374"/>
      <c r="I322" s="611"/>
      <c r="J322" s="608"/>
      <c r="K322" s="374"/>
      <c r="L322" s="611"/>
      <c r="M322" s="608"/>
      <c r="N322" s="374"/>
      <c r="O322" s="611"/>
      <c r="P322" s="608"/>
      <c r="Q322" s="609"/>
      <c r="R322" s="399"/>
      <c r="S322" s="398"/>
      <c r="T322" s="609"/>
      <c r="U322" s="31"/>
      <c r="V322" s="31"/>
    </row>
    <row r="323" spans="1:22" ht="18.75" hidden="1" thickBot="1">
      <c r="A323" s="31"/>
      <c r="B323" s="384"/>
      <c r="C323" s="389"/>
      <c r="D323" s="607"/>
      <c r="E323" s="309" t="s">
        <v>510</v>
      </c>
      <c r="F323" s="406">
        <f>(F312-E300-E301-E302-E303)-($O312-$N300-$N301-$N302-$N303)</f>
        <v>94534.886213519145</v>
      </c>
      <c r="G323" s="608"/>
      <c r="H323" s="309" t="s">
        <v>510</v>
      </c>
      <c r="I323" s="406">
        <f>(I312-H300-H301-H302-H303)-($O312-$N300-$N301-$N302)</f>
        <v>50094.288770612329</v>
      </c>
      <c r="J323" s="608"/>
      <c r="K323" s="309" t="s">
        <v>510</v>
      </c>
      <c r="L323" s="406">
        <f>(L312-K300-K301-K302-K303)-($O312-$N300-$N301-$N303)</f>
        <v>0</v>
      </c>
      <c r="M323" s="608"/>
      <c r="N323" s="374"/>
      <c r="O323" s="611"/>
      <c r="P323" s="608"/>
      <c r="Q323" s="609"/>
      <c r="R323" s="399"/>
      <c r="S323" s="398"/>
      <c r="T323" s="609"/>
      <c r="U323" s="31"/>
      <c r="V323" s="31"/>
    </row>
    <row r="324" spans="1:22" ht="18.75" hidden="1" thickBot="1">
      <c r="A324" s="31"/>
      <c r="B324" s="384"/>
      <c r="C324" s="389"/>
      <c r="D324" s="607"/>
      <c r="E324" s="311" t="s">
        <v>502</v>
      </c>
      <c r="F324" s="408">
        <f>F323/($O312-$N300-$N301-$N303)</f>
        <v>6.3997644683887897E-2</v>
      </c>
      <c r="G324" s="608"/>
      <c r="H324" s="311" t="s">
        <v>502</v>
      </c>
      <c r="I324" s="407">
        <f>I323/($O312-$N300-$N301-$N303)</f>
        <v>3.3912522898612796E-2</v>
      </c>
      <c r="J324" s="608"/>
      <c r="K324" s="311" t="s">
        <v>502</v>
      </c>
      <c r="L324" s="408">
        <f>L323/($O312-$N300-$N301-$N303)</f>
        <v>0</v>
      </c>
      <c r="M324" s="608"/>
      <c r="N324" s="374"/>
      <c r="O324" s="611"/>
      <c r="P324" s="608"/>
      <c r="Q324" s="609"/>
      <c r="R324" s="399"/>
      <c r="S324" s="398"/>
      <c r="T324" s="609"/>
      <c r="U324" s="31"/>
      <c r="V324" s="31"/>
    </row>
    <row r="325" spans="1:22" ht="18.75" hidden="1" thickBot="1">
      <c r="A325" s="31"/>
      <c r="B325" s="384"/>
      <c r="C325" s="389"/>
      <c r="D325" s="607"/>
      <c r="E325" s="374"/>
      <c r="F325" s="611"/>
      <c r="G325" s="608"/>
      <c r="H325" s="374"/>
      <c r="I325" s="611"/>
      <c r="J325" s="608"/>
      <c r="K325" s="374"/>
      <c r="L325" s="611"/>
      <c r="M325" s="608"/>
      <c r="N325" s="374"/>
      <c r="O325" s="611"/>
      <c r="P325" s="608"/>
      <c r="Q325" s="609"/>
      <c r="R325" s="399"/>
      <c r="S325" s="398"/>
      <c r="T325" s="609"/>
      <c r="U325" s="31"/>
      <c r="V325" s="31"/>
    </row>
    <row r="326" spans="1:22" ht="18.75" hidden="1" thickBot="1">
      <c r="A326" s="31"/>
      <c r="B326" s="384"/>
      <c r="C326" s="389"/>
      <c r="D326" s="607"/>
      <c r="E326" s="389" t="s">
        <v>511</v>
      </c>
      <c r="F326" s="393"/>
      <c r="G326" s="608"/>
      <c r="H326" s="389" t="s">
        <v>511</v>
      </c>
      <c r="I326" s="393"/>
      <c r="J326" s="608"/>
      <c r="K326" s="389" t="s">
        <v>511</v>
      </c>
      <c r="L326" s="393"/>
      <c r="M326" s="608"/>
      <c r="N326" s="389" t="s">
        <v>511</v>
      </c>
      <c r="O326" s="393"/>
      <c r="P326" s="608"/>
      <c r="Q326" s="609"/>
      <c r="R326" s="399"/>
      <c r="S326" s="398"/>
      <c r="T326" s="609"/>
      <c r="U326" s="31"/>
      <c r="V326" s="31"/>
    </row>
    <row r="327" spans="1:22" ht="18.75" hidden="1" thickBot="1">
      <c r="A327" s="31"/>
      <c r="B327" s="384"/>
      <c r="C327" s="389"/>
      <c r="D327" s="607"/>
      <c r="E327" s="326" t="s">
        <v>512</v>
      </c>
      <c r="F327" s="409">
        <f>(E287+E288+E289+E290+E291+E292+E293+E295+E296+E297)*0.5</f>
        <v>1007497.9779101298</v>
      </c>
      <c r="G327" s="608"/>
      <c r="H327" s="326" t="s">
        <v>512</v>
      </c>
      <c r="I327" s="409">
        <f>(H287+H288+H289+H290+H291+H292+H293+H295+H296+H297)*0.5</f>
        <v>979010.41544672812</v>
      </c>
      <c r="J327" s="608"/>
      <c r="K327" s="326" t="s">
        <v>512</v>
      </c>
      <c r="L327" s="409">
        <f>(K287+K288+K289+K290+K291+K292+K293+K295+K296+K297)*0.5</f>
        <v>946898.69187582261</v>
      </c>
      <c r="M327" s="608"/>
      <c r="N327" s="326" t="s">
        <v>512</v>
      </c>
      <c r="O327" s="409">
        <f>(N287+N288+N289+N290+N291+N292+N293+N295+N296+N297)*0.5</f>
        <v>946898.69187582261</v>
      </c>
      <c r="P327" s="608"/>
      <c r="Q327" s="609"/>
      <c r="R327" s="399"/>
      <c r="S327" s="398"/>
      <c r="T327" s="609"/>
      <c r="U327" s="31"/>
      <c r="V327" s="31"/>
    </row>
    <row r="328" spans="1:22" ht="18.75" hidden="1" thickBot="1">
      <c r="A328" s="31"/>
      <c r="B328" s="384"/>
      <c r="C328" s="389"/>
      <c r="D328" s="607"/>
      <c r="E328" s="326" t="s">
        <v>513</v>
      </c>
      <c r="F328" s="393"/>
      <c r="G328" s="608"/>
      <c r="H328" s="326" t="s">
        <v>513</v>
      </c>
      <c r="I328" s="393"/>
      <c r="J328" s="608"/>
      <c r="K328" s="326" t="s">
        <v>513</v>
      </c>
      <c r="L328" s="393"/>
      <c r="M328" s="608"/>
      <c r="N328" s="326" t="s">
        <v>513</v>
      </c>
      <c r="O328" s="393"/>
      <c r="P328" s="608"/>
      <c r="Q328" s="609"/>
      <c r="R328" s="399"/>
      <c r="S328" s="398"/>
      <c r="T328" s="609"/>
      <c r="U328" s="31"/>
      <c r="V328" s="31"/>
    </row>
    <row r="329" spans="1:22" ht="18.75" hidden="1" thickBot="1">
      <c r="A329" s="31"/>
      <c r="B329" s="384"/>
      <c r="C329" s="389"/>
      <c r="D329" s="607"/>
      <c r="E329" s="328" t="s">
        <v>514</v>
      </c>
      <c r="F329" s="328">
        <f>F327*0.78</f>
        <v>785848.42276990134</v>
      </c>
      <c r="G329" s="608"/>
      <c r="H329" s="328" t="s">
        <v>514</v>
      </c>
      <c r="I329" s="328">
        <f>I327*0.78</f>
        <v>763628.12404844793</v>
      </c>
      <c r="J329" s="608"/>
      <c r="K329" s="328" t="s">
        <v>514</v>
      </c>
      <c r="L329" s="328">
        <f>L327*0.78</f>
        <v>738580.97966314165</v>
      </c>
      <c r="M329" s="608"/>
      <c r="N329" s="328" t="s">
        <v>514</v>
      </c>
      <c r="O329" s="328">
        <f>O327*0.78</f>
        <v>738580.97966314165</v>
      </c>
      <c r="P329" s="608"/>
      <c r="Q329" s="609"/>
      <c r="R329" s="399"/>
      <c r="S329" s="398"/>
      <c r="T329" s="609"/>
      <c r="U329" s="31"/>
      <c r="V329" s="31"/>
    </row>
    <row r="330" spans="1:22" ht="18.75" hidden="1" thickBot="1">
      <c r="A330" s="31"/>
      <c r="B330" s="384"/>
      <c r="C330" s="389"/>
      <c r="D330" s="607"/>
      <c r="E330" s="326" t="s">
        <v>515</v>
      </c>
      <c r="F330" s="326"/>
      <c r="G330" s="608"/>
      <c r="H330" s="326" t="s">
        <v>515</v>
      </c>
      <c r="I330" s="326"/>
      <c r="J330" s="608"/>
      <c r="K330" s="326" t="s">
        <v>515</v>
      </c>
      <c r="L330" s="326"/>
      <c r="M330" s="608"/>
      <c r="N330" s="326" t="s">
        <v>515</v>
      </c>
      <c r="O330" s="326"/>
      <c r="P330" s="608"/>
      <c r="Q330" s="609"/>
      <c r="R330" s="399"/>
      <c r="S330" s="398"/>
      <c r="T330" s="609"/>
      <c r="U330" s="31"/>
      <c r="V330" s="31"/>
    </row>
    <row r="331" spans="1:22" ht="18.75" hidden="1" thickBot="1">
      <c r="A331" s="31"/>
      <c r="B331" s="384"/>
      <c r="C331" s="389"/>
      <c r="D331" s="607"/>
      <c r="E331" s="269">
        <v>502</v>
      </c>
      <c r="F331" s="409">
        <f>-(E287+E288+E292+E293+E289+E290+E291+F305+E295+E296+F327+E297)*0.19</f>
        <v>-574273.84740877396</v>
      </c>
      <c r="G331" s="608"/>
      <c r="H331" s="269">
        <v>502</v>
      </c>
      <c r="I331" s="409">
        <f>-(H287+H288+H292+H293+H289+H290+H291+I305+H295+H296+I327+H297)*0.19</f>
        <v>-558035.9368046351</v>
      </c>
      <c r="J331" s="608"/>
      <c r="K331" s="269">
        <v>502</v>
      </c>
      <c r="L331" s="409">
        <f>-(K287+K288+K292+K293+K289+K290+K291+L305+K295+K296+L327+K297)*0.19</f>
        <v>-539732.25436921883</v>
      </c>
      <c r="M331" s="608"/>
      <c r="N331" s="269">
        <v>502</v>
      </c>
      <c r="O331" s="409">
        <f>-(N287+N288+N292+N293+N289+N290+N291+O305+N295+N296+O327+N297)*0.19</f>
        <v>-539732.25436921883</v>
      </c>
      <c r="P331" s="608"/>
      <c r="Q331" s="609"/>
      <c r="R331" s="399"/>
      <c r="S331" s="398"/>
      <c r="T331" s="609"/>
      <c r="U331" s="31"/>
      <c r="V331" s="31"/>
    </row>
    <row r="332" spans="1:22" ht="18.75" hidden="1" thickBot="1">
      <c r="A332" s="31"/>
      <c r="B332" s="384"/>
      <c r="C332" s="389"/>
      <c r="D332" s="607"/>
      <c r="E332" s="269">
        <v>504</v>
      </c>
      <c r="F332" s="409"/>
      <c r="G332" s="608"/>
      <c r="H332" s="269">
        <v>504</v>
      </c>
      <c r="I332" s="409"/>
      <c r="J332" s="608"/>
      <c r="K332" s="269">
        <v>504</v>
      </c>
      <c r="L332" s="409"/>
      <c r="M332" s="608"/>
      <c r="N332" s="269">
        <v>504</v>
      </c>
      <c r="O332" s="409"/>
      <c r="P332" s="608"/>
      <c r="Q332" s="609"/>
      <c r="R332" s="399"/>
      <c r="S332" s="398"/>
      <c r="T332" s="609"/>
      <c r="U332" s="31"/>
      <c r="V332" s="31"/>
    </row>
    <row r="333" spans="1:22" ht="16.5" hidden="1" thickBot="1">
      <c r="A333" s="31"/>
      <c r="B333" s="384"/>
      <c r="C333" s="389"/>
      <c r="D333" s="607"/>
      <c r="E333" s="269">
        <v>505</v>
      </c>
      <c r="F333" s="409">
        <f>-(E287+E288+E292+E293+E289+E290+E291+F305+E295+E296+F327+E297)*0.03</f>
        <v>-90674.818011911673</v>
      </c>
      <c r="G333" s="608"/>
      <c r="H333" s="269">
        <v>505</v>
      </c>
      <c r="I333" s="409">
        <f>-(H287+H288+H292+H293+H289+H290+H291+I305+H295+H296+I327+H297)*0.03</f>
        <v>-88110.937390205538</v>
      </c>
      <c r="J333" s="608"/>
      <c r="K333" s="269">
        <v>505</v>
      </c>
      <c r="L333" s="409">
        <f>-(K287+K288+K292+K293+K289+K290+K291+L305+K295+K296+L327+K297)*0.03</f>
        <v>-85220.882268824018</v>
      </c>
      <c r="M333" s="608"/>
      <c r="N333" s="269">
        <v>505</v>
      </c>
      <c r="O333" s="409">
        <f>-(N287+N288+N292+N293+N289+N290+N291+O305+N295+N296+O327+N297)*0.03</f>
        <v>-85220.882268824018</v>
      </c>
      <c r="P333" s="608"/>
      <c r="Q333" s="37"/>
      <c r="R333" s="37"/>
      <c r="S333" s="37"/>
      <c r="T333" s="37"/>
      <c r="U333" s="37"/>
      <c r="V333" s="37"/>
    </row>
    <row r="334" spans="1:22" ht="18.75" hidden="1" thickBot="1">
      <c r="A334" s="31"/>
      <c r="B334" s="384"/>
      <c r="C334" s="389"/>
      <c r="D334" s="607"/>
      <c r="E334" s="393"/>
      <c r="F334" s="393"/>
      <c r="G334" s="608"/>
      <c r="H334" s="393"/>
      <c r="I334" s="393"/>
      <c r="J334" s="608"/>
      <c r="K334" s="393"/>
      <c r="L334" s="393"/>
      <c r="M334" s="608"/>
      <c r="N334" s="393"/>
      <c r="O334" s="393"/>
      <c r="P334" s="608"/>
      <c r="Q334" s="609"/>
      <c r="R334" s="399"/>
      <c r="S334" s="398"/>
      <c r="T334" s="609"/>
      <c r="U334" s="31"/>
      <c r="V334" s="31"/>
    </row>
    <row r="335" spans="1:22" ht="18.75" hidden="1" thickBot="1">
      <c r="A335" s="31"/>
      <c r="B335" s="384"/>
      <c r="C335" s="389"/>
      <c r="D335" s="607"/>
      <c r="E335" s="374" t="s">
        <v>516</v>
      </c>
      <c r="F335" s="374"/>
      <c r="G335" s="608"/>
      <c r="H335" s="374" t="s">
        <v>516</v>
      </c>
      <c r="I335" s="374"/>
      <c r="J335" s="608"/>
      <c r="K335" s="374" t="s">
        <v>516</v>
      </c>
      <c r="L335" s="374"/>
      <c r="M335" s="608"/>
      <c r="N335" s="374" t="s">
        <v>516</v>
      </c>
      <c r="O335" s="374"/>
      <c r="P335" s="608"/>
      <c r="Q335" s="609"/>
      <c r="R335" s="399"/>
      <c r="S335" s="398"/>
      <c r="T335" s="609"/>
      <c r="U335" s="31"/>
      <c r="V335" s="31"/>
    </row>
    <row r="336" spans="1:22" ht="18.75" hidden="1" thickBot="1">
      <c r="A336" s="31"/>
      <c r="B336" s="384"/>
      <c r="C336" s="389"/>
      <c r="D336" s="607"/>
      <c r="E336" s="374"/>
      <c r="F336" s="393">
        <f>E304+F327+F328+F331+F332+F333</f>
        <v>2595981.268309704</v>
      </c>
      <c r="G336" s="608"/>
      <c r="H336" s="374"/>
      <c r="I336" s="393">
        <f>H304+I327+I328+I331+I332+I333</f>
        <v>2479296.3721453436</v>
      </c>
      <c r="J336" s="608"/>
      <c r="K336" s="374"/>
      <c r="L336" s="393">
        <f>K304+L327+L328+L331+L332+L333</f>
        <v>2404154.9389894246</v>
      </c>
      <c r="M336" s="608"/>
      <c r="N336" s="374"/>
      <c r="O336" s="393">
        <f>N304+O327+O328+O331+O332+O333</f>
        <v>2344154.9389894246</v>
      </c>
      <c r="P336" s="608"/>
      <c r="Q336" s="609"/>
      <c r="R336" s="399"/>
      <c r="S336" s="398"/>
      <c r="T336" s="609"/>
      <c r="U336" s="31"/>
      <c r="V336" s="31"/>
    </row>
    <row r="337" spans="1:25" ht="18.75" hidden="1" thickBot="1">
      <c r="A337" s="31"/>
      <c r="B337" s="384"/>
      <c r="C337" s="389"/>
      <c r="D337" s="607"/>
      <c r="E337" s="411" t="s">
        <v>517</v>
      </c>
      <c r="F337" s="411"/>
      <c r="G337" s="608"/>
      <c r="H337" s="411" t="s">
        <v>517</v>
      </c>
      <c r="I337" s="411"/>
      <c r="J337" s="608"/>
      <c r="K337" s="411" t="s">
        <v>517</v>
      </c>
      <c r="L337" s="411"/>
      <c r="M337" s="608"/>
      <c r="N337" s="411" t="s">
        <v>517</v>
      </c>
      <c r="O337" s="411"/>
      <c r="P337" s="608"/>
      <c r="Q337" s="609"/>
      <c r="R337" s="399"/>
      <c r="S337" s="398"/>
      <c r="T337" s="609"/>
      <c r="U337" s="31"/>
      <c r="V337" s="31"/>
    </row>
    <row r="338" spans="1:25" ht="21" hidden="1" thickBot="1">
      <c r="A338" s="31"/>
      <c r="B338" s="384"/>
      <c r="C338" s="389"/>
      <c r="D338" s="607"/>
      <c r="E338" s="328"/>
      <c r="F338" s="612">
        <f>F336-F312+F308</f>
        <v>785848.42276990158</v>
      </c>
      <c r="G338" s="608"/>
      <c r="H338" s="328"/>
      <c r="I338" s="612">
        <f>I336-I312+I308</f>
        <v>763628.12404844793</v>
      </c>
      <c r="J338" s="608"/>
      <c r="K338" s="328"/>
      <c r="L338" s="612">
        <f>L336-L312+L308</f>
        <v>738580.9796631413</v>
      </c>
      <c r="M338" s="608"/>
      <c r="N338" s="328"/>
      <c r="O338" s="612">
        <f>O336-O312+O308</f>
        <v>738580.9796631413</v>
      </c>
      <c r="P338" s="608"/>
      <c r="Q338" s="609"/>
      <c r="R338" s="399"/>
      <c r="S338" s="398"/>
      <c r="T338" s="609"/>
      <c r="U338" s="31"/>
      <c r="V338" s="31"/>
    </row>
    <row r="339" spans="1:25" ht="20.25" hidden="1">
      <c r="A339" s="31"/>
      <c r="B339" s="529"/>
      <c r="C339" s="96"/>
      <c r="D339" s="530"/>
      <c r="E339" s="812">
        <v>46204</v>
      </c>
      <c r="F339" s="813">
        <f>Aumentojulio26</f>
        <v>6.6049999999999942E-2</v>
      </c>
      <c r="G339" s="21"/>
      <c r="H339" s="22">
        <v>46082</v>
      </c>
      <c r="I339" s="23">
        <v>0</v>
      </c>
      <c r="J339" s="21"/>
      <c r="K339" s="22">
        <v>46054</v>
      </c>
      <c r="L339" s="23">
        <v>0</v>
      </c>
      <c r="M339" s="21"/>
      <c r="N339" s="22">
        <v>45992</v>
      </c>
      <c r="O339" s="23" t="e">
        <f>(1+Aumentodic25respene25)*(1+Aumentoene25respdic24)-1</f>
        <v>#NAME?</v>
      </c>
      <c r="P339" s="21"/>
      <c r="Q339" s="613"/>
      <c r="R339" s="398"/>
      <c r="S339" s="609"/>
      <c r="T339" s="31"/>
      <c r="U339" s="31"/>
      <c r="V339" s="31"/>
    </row>
    <row r="340" spans="1:25" ht="18" hidden="1">
      <c r="A340" s="31"/>
      <c r="B340" s="529"/>
      <c r="C340" s="96"/>
      <c r="D340" s="530"/>
      <c r="E340" s="530"/>
      <c r="F340" s="530"/>
      <c r="G340" s="530"/>
      <c r="H340" s="530"/>
      <c r="I340" s="530"/>
      <c r="J340" s="530"/>
      <c r="K340" s="530"/>
      <c r="L340" s="530"/>
      <c r="M340" s="530"/>
      <c r="N340" s="22">
        <v>46023</v>
      </c>
      <c r="O340" s="530"/>
      <c r="P340" s="530"/>
      <c r="Q340" s="31"/>
      <c r="R340" s="31"/>
      <c r="S340" s="31"/>
      <c r="T340" s="31"/>
      <c r="U340" s="31"/>
      <c r="V340" s="31"/>
    </row>
    <row r="341" spans="1:25" ht="18" hidden="1">
      <c r="A341" s="54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</row>
    <row r="342" spans="1:25" ht="18.75" thickBot="1">
      <c r="A342" s="614"/>
      <c r="B342" s="614"/>
      <c r="C342" s="614"/>
      <c r="D342" s="614"/>
      <c r="E342" s="614"/>
      <c r="F342" s="614"/>
      <c r="G342" s="614"/>
      <c r="H342" s="614"/>
      <c r="I342" s="614"/>
      <c r="J342" s="614"/>
      <c r="K342" s="614"/>
      <c r="L342" s="614"/>
      <c r="M342" s="614"/>
      <c r="N342" s="614"/>
      <c r="O342" s="614"/>
      <c r="P342" s="614"/>
      <c r="Q342" s="615"/>
      <c r="R342" s="615"/>
      <c r="S342" s="615"/>
      <c r="T342" s="615"/>
      <c r="U342" s="615"/>
      <c r="V342" s="615"/>
      <c r="W342" s="615"/>
      <c r="X342" s="615"/>
      <c r="Y342" s="615"/>
    </row>
    <row r="343" spans="1:25">
      <c r="A343" s="158"/>
      <c r="B343" s="158"/>
      <c r="C343" s="31"/>
      <c r="D343" s="31"/>
      <c r="E343" s="416"/>
      <c r="F343" s="37"/>
      <c r="G343" s="416"/>
      <c r="H343" s="418"/>
      <c r="I343" s="419" t="str">
        <f>canthorsup&amp;" horas sup"</f>
        <v>36 horas sup</v>
      </c>
      <c r="J343" s="420">
        <f>porantighorsup</f>
        <v>1.2</v>
      </c>
      <c r="K343" s="421"/>
      <c r="L343" s="422"/>
      <c r="M343" s="422"/>
      <c r="N343" s="422"/>
      <c r="O343" s="37"/>
      <c r="P343" s="422"/>
      <c r="Q343" s="37"/>
      <c r="R343" s="37"/>
      <c r="S343" s="37"/>
    </row>
    <row r="344" spans="1:25" ht="15.75">
      <c r="A344" s="31"/>
      <c r="B344" s="31"/>
      <c r="C344" s="31"/>
      <c r="D344" s="31"/>
      <c r="E344" s="423"/>
      <c r="F344" s="37"/>
      <c r="G344" s="426"/>
      <c r="H344" s="616">
        <v>45992</v>
      </c>
      <c r="I344" s="617">
        <v>46054</v>
      </c>
      <c r="J344" s="617">
        <v>46143</v>
      </c>
      <c r="K344" s="192">
        <v>46204</v>
      </c>
      <c r="L344" s="192"/>
      <c r="M344" s="618"/>
      <c r="N344" s="618"/>
      <c r="O344" s="618"/>
      <c r="P344" s="426"/>
      <c r="Q344" s="426"/>
      <c r="R344" s="426"/>
      <c r="S344" s="426"/>
    </row>
    <row r="345" spans="1:25">
      <c r="A345" s="31"/>
      <c r="B345" s="31"/>
      <c r="C345" s="31"/>
      <c r="D345" s="31"/>
      <c r="E345" s="428"/>
      <c r="F345" s="37"/>
      <c r="G345" s="428"/>
      <c r="H345" s="204">
        <f>N350</f>
        <v>1880873.4413984646</v>
      </c>
      <c r="I345" s="429">
        <f>K350</f>
        <v>1940873.4413984646</v>
      </c>
      <c r="J345" s="430">
        <f>H350</f>
        <v>2000603.2891705274</v>
      </c>
      <c r="K345" s="200">
        <f>E350</f>
        <v>2103615.9378456427</v>
      </c>
      <c r="L345" s="200"/>
      <c r="M345" s="431"/>
      <c r="N345" s="431"/>
      <c r="O345" s="431"/>
      <c r="P345" s="431"/>
      <c r="Q345" s="431"/>
      <c r="R345" s="431"/>
      <c r="S345" s="431"/>
    </row>
    <row r="346" spans="1:25" ht="23.25">
      <c r="A346" s="31"/>
      <c r="B346" s="31"/>
      <c r="C346" s="619" t="s">
        <v>538</v>
      </c>
      <c r="D346" s="620"/>
      <c r="E346" s="432"/>
      <c r="F346" s="37"/>
      <c r="G346" s="433"/>
      <c r="H346" s="204" t="s">
        <v>454</v>
      </c>
      <c r="I346" s="205">
        <f t="shared" ref="I346:L346" si="115">I345-$H345</f>
        <v>60000</v>
      </c>
      <c r="J346" s="205">
        <f t="shared" si="115"/>
        <v>119729.84777206276</v>
      </c>
      <c r="K346" s="205">
        <f t="shared" si="115"/>
        <v>222742.49644717807</v>
      </c>
      <c r="L346" s="205"/>
      <c r="M346" s="206"/>
      <c r="N346" s="206"/>
      <c r="O346" s="206"/>
      <c r="P346" s="206"/>
      <c r="Q346" s="206"/>
      <c r="R346" s="206"/>
      <c r="S346" s="206"/>
    </row>
    <row r="347" spans="1:25" ht="15.75">
      <c r="A347" s="31"/>
      <c r="B347" s="872" t="s">
        <v>519</v>
      </c>
      <c r="C347" s="873"/>
      <c r="D347" s="434">
        <v>36</v>
      </c>
      <c r="E347" s="435"/>
      <c r="F347" s="37"/>
      <c r="G347" s="436"/>
      <c r="H347" s="208" t="s">
        <v>457</v>
      </c>
      <c r="I347" s="209">
        <f t="shared" ref="I347:L347" si="116">I346/$H345</f>
        <v>3.1900072955141988E-2</v>
      </c>
      <c r="J347" s="209">
        <f t="shared" si="116"/>
        <v>6.3656514647280768E-2</v>
      </c>
      <c r="K347" s="209">
        <f t="shared" si="116"/>
        <v>0.11842503144792392</v>
      </c>
      <c r="L347" s="209"/>
      <c r="M347" s="210"/>
      <c r="N347" s="210"/>
      <c r="O347" s="210"/>
      <c r="P347" s="210"/>
      <c r="Q347" s="210"/>
      <c r="R347" s="210"/>
      <c r="S347" s="210"/>
    </row>
    <row r="348" spans="1:25" ht="16.5" thickBot="1">
      <c r="A348" s="31"/>
      <c r="B348" s="872" t="s">
        <v>520</v>
      </c>
      <c r="C348" s="873"/>
      <c r="D348" s="437">
        <v>24</v>
      </c>
      <c r="E348" s="438"/>
      <c r="F348" s="37"/>
      <c r="G348" s="422"/>
      <c r="H348" s="213" t="s">
        <v>458</v>
      </c>
      <c r="I348" s="214"/>
      <c r="J348" s="621"/>
      <c r="K348" s="441"/>
      <c r="L348" s="442"/>
      <c r="M348" s="442"/>
      <c r="N348" s="442"/>
      <c r="O348" s="442"/>
      <c r="P348" s="442"/>
      <c r="Q348" s="442"/>
      <c r="R348" s="442"/>
      <c r="S348" s="442"/>
    </row>
    <row r="349" spans="1:25" ht="24" thickBot="1">
      <c r="A349" s="31"/>
      <c r="B349" s="31"/>
      <c r="C349" s="31"/>
      <c r="D349" s="622">
        <f>LOOKUP(D348,D18:D29,E18:E29)</f>
        <v>1.2</v>
      </c>
      <c r="E349" s="444" t="s">
        <v>460</v>
      </c>
      <c r="F349" s="862" t="s">
        <v>564</v>
      </c>
      <c r="G349" s="623"/>
      <c r="H349" s="444" t="s">
        <v>460</v>
      </c>
      <c r="I349" s="862" t="s">
        <v>565</v>
      </c>
      <c r="J349" s="623"/>
      <c r="K349" s="444" t="s">
        <v>460</v>
      </c>
      <c r="L349" s="218"/>
      <c r="M349" s="623"/>
      <c r="N349" s="444" t="s">
        <v>460</v>
      </c>
      <c r="O349" s="218"/>
      <c r="P349" s="624"/>
      <c r="Q349" s="31"/>
      <c r="R349" s="31"/>
      <c r="S349" s="31"/>
      <c r="T349" s="31"/>
      <c r="U349" s="31"/>
      <c r="V349" s="31"/>
    </row>
    <row r="350" spans="1:25" ht="21" thickBot="1">
      <c r="A350" s="121"/>
      <c r="B350" s="625" t="s">
        <v>521</v>
      </c>
      <c r="C350" s="447"/>
      <c r="D350" s="626"/>
      <c r="E350" s="627">
        <f>F382</f>
        <v>2103615.9378456427</v>
      </c>
      <c r="F350" s="863">
        <f>E350/1531473</f>
        <v>1.3735899606755344</v>
      </c>
      <c r="G350" s="628"/>
      <c r="H350" s="627">
        <f>I382</f>
        <v>2000603.2891705274</v>
      </c>
      <c r="I350" s="863">
        <f>H350/1469768</f>
        <v>1.3611694425042098</v>
      </c>
      <c r="J350" s="628"/>
      <c r="K350" s="627">
        <f>L382</f>
        <v>1940873.4413984646</v>
      </c>
      <c r="L350" s="221"/>
      <c r="M350" s="628"/>
      <c r="N350" s="627">
        <f>O382</f>
        <v>1880873.4413984646</v>
      </c>
      <c r="O350" s="221"/>
      <c r="P350" s="628"/>
      <c r="Q350" s="121"/>
      <c r="R350" s="629"/>
      <c r="S350" s="121"/>
      <c r="T350" s="121"/>
      <c r="U350" s="121"/>
      <c r="V350" s="121"/>
    </row>
    <row r="351" spans="1:25" ht="16.5" thickTop="1">
      <c r="A351" s="31"/>
      <c r="B351" s="874" t="s">
        <v>522</v>
      </c>
      <c r="C351" s="866"/>
      <c r="D351" s="630">
        <v>17</v>
      </c>
      <c r="E351" s="223" t="s">
        <v>463</v>
      </c>
      <c r="F351" s="864"/>
      <c r="G351" s="631"/>
      <c r="H351" s="223" t="s">
        <v>463</v>
      </c>
      <c r="I351" s="864"/>
      <c r="J351" s="631"/>
      <c r="K351" s="223" t="s">
        <v>463</v>
      </c>
      <c r="L351" s="452"/>
      <c r="M351" s="631"/>
      <c r="N351" s="223" t="s">
        <v>463</v>
      </c>
      <c r="O351" s="452"/>
      <c r="P351" s="631"/>
      <c r="Q351" s="31"/>
      <c r="R351" s="96"/>
      <c r="S351" s="31"/>
      <c r="T351" s="31"/>
      <c r="U351" s="31"/>
      <c r="V351" s="31"/>
    </row>
    <row r="352" spans="1:25" ht="18">
      <c r="A352" s="31"/>
      <c r="B352" s="874" t="s">
        <v>523</v>
      </c>
      <c r="C352" s="866"/>
      <c r="D352" s="632">
        <v>24</v>
      </c>
      <c r="E352" s="228">
        <f>E350-E370-E371-E373</f>
        <v>1901179.9378456427</v>
      </c>
      <c r="F352" s="863">
        <f>E352/1531473</f>
        <v>1.241406108919741</v>
      </c>
      <c r="G352" s="455"/>
      <c r="H352" s="228">
        <f>H350-H370-H371-H373</f>
        <v>1848191.2891705274</v>
      </c>
      <c r="I352" s="863">
        <f>H352/1469768</f>
        <v>1.2574714439085131</v>
      </c>
      <c r="J352" s="455"/>
      <c r="K352" s="228">
        <f>K350-K370-K371-K373</f>
        <v>1788461.4413984646</v>
      </c>
      <c r="L352" s="454"/>
      <c r="M352" s="455"/>
      <c r="N352" s="228">
        <f>N350-N370-N371-N373</f>
        <v>1752461.4413984646</v>
      </c>
      <c r="O352" s="454"/>
      <c r="P352" s="455"/>
      <c r="Q352" s="31"/>
      <c r="R352" s="96"/>
      <c r="S352" s="31"/>
      <c r="T352" s="31"/>
      <c r="U352" s="31"/>
      <c r="V352" s="31"/>
    </row>
    <row r="353" spans="1:22" ht="15.75">
      <c r="A353" s="31"/>
      <c r="B353" s="79" t="s">
        <v>525</v>
      </c>
      <c r="C353" s="37"/>
      <c r="D353" s="456">
        <v>15</v>
      </c>
      <c r="E353" s="456"/>
      <c r="F353" s="456"/>
      <c r="G353" s="456"/>
      <c r="H353" s="456"/>
      <c r="I353" s="456"/>
      <c r="J353" s="456"/>
      <c r="K353" s="456"/>
      <c r="L353" s="456"/>
      <c r="M353" s="456"/>
      <c r="N353" s="456"/>
      <c r="O353" s="456"/>
      <c r="P353" s="456"/>
      <c r="Q353" s="31"/>
      <c r="R353" s="31"/>
      <c r="S353" s="31"/>
      <c r="T353" s="31"/>
      <c r="U353" s="31"/>
      <c r="V353" s="31"/>
    </row>
    <row r="354" spans="1:22">
      <c r="A354" s="31"/>
      <c r="B354" s="875" t="s">
        <v>459</v>
      </c>
      <c r="C354" s="866"/>
      <c r="D354" s="633">
        <v>0</v>
      </c>
      <c r="E354" s="633"/>
      <c r="F354" s="633"/>
      <c r="G354" s="633"/>
      <c r="H354" s="633"/>
      <c r="I354" s="633"/>
      <c r="J354" s="633"/>
      <c r="K354" s="633"/>
      <c r="L354" s="633"/>
      <c r="M354" s="633"/>
      <c r="N354" s="633"/>
      <c r="O354" s="633"/>
      <c r="P354" s="633"/>
      <c r="Q354" s="31"/>
      <c r="R354" s="49"/>
      <c r="S354" s="634"/>
      <c r="T354" s="31"/>
      <c r="U354" s="31"/>
      <c r="V354" s="31"/>
    </row>
    <row r="355" spans="1:22" ht="18">
      <c r="A355" s="121"/>
      <c r="B355" s="876" t="s">
        <v>461</v>
      </c>
      <c r="C355" s="866"/>
      <c r="D355" s="460">
        <f>canthorsup*86.9</f>
        <v>3128.4</v>
      </c>
      <c r="E355" s="460"/>
      <c r="F355" s="460"/>
      <c r="G355" s="460"/>
      <c r="H355" s="460"/>
      <c r="I355" s="460"/>
      <c r="J355" s="460"/>
      <c r="K355" s="460"/>
      <c r="L355" s="460"/>
      <c r="M355" s="460"/>
      <c r="N355" s="22">
        <v>45992</v>
      </c>
      <c r="O355" s="460"/>
      <c r="P355" s="460"/>
      <c r="Q355" s="121"/>
      <c r="R355" s="96"/>
      <c r="S355" s="629"/>
      <c r="T355" s="121"/>
      <c r="U355" s="121"/>
      <c r="V355" s="121"/>
    </row>
    <row r="356" spans="1:22" ht="20.25">
      <c r="A356" s="121"/>
      <c r="B356" s="635"/>
      <c r="C356" s="636"/>
      <c r="D356" s="637"/>
      <c r="E356" s="812">
        <v>46204</v>
      </c>
      <c r="F356" s="813">
        <f>Aumentojulio26</f>
        <v>6.6049999999999942E-2</v>
      </c>
      <c r="G356" s="814"/>
      <c r="H356" s="812">
        <v>46143</v>
      </c>
      <c r="I356" s="813">
        <v>3.5000000000000003E-2</v>
      </c>
      <c r="J356" s="814"/>
      <c r="K356" s="812">
        <v>46054</v>
      </c>
      <c r="L356" s="813">
        <v>0</v>
      </c>
      <c r="M356" s="814"/>
      <c r="N356" s="812">
        <v>45992</v>
      </c>
      <c r="O356" s="23"/>
      <c r="P356" s="21"/>
      <c r="Q356" s="638"/>
      <c r="R356" s="121"/>
      <c r="S356" s="121"/>
      <c r="T356" s="121"/>
      <c r="U356" s="121"/>
      <c r="V356" s="121"/>
    </row>
    <row r="357" spans="1:22" ht="15.75">
      <c r="A357" s="121"/>
      <c r="B357" s="462" t="s">
        <v>465</v>
      </c>
      <c r="C357" s="463" t="s">
        <v>466</v>
      </c>
      <c r="D357" s="464" t="s">
        <v>467</v>
      </c>
      <c r="E357" s="464"/>
      <c r="F357" s="464"/>
      <c r="G357" s="639"/>
      <c r="H357" s="464"/>
      <c r="I357" s="464"/>
      <c r="J357" s="639"/>
      <c r="K357" s="464"/>
      <c r="L357" s="464"/>
      <c r="M357" s="639"/>
      <c r="N357" s="464"/>
      <c r="O357" s="464"/>
      <c r="P357" s="639"/>
      <c r="Q357" s="638"/>
      <c r="R357" s="121"/>
      <c r="S357" s="121"/>
      <c r="T357" s="121"/>
      <c r="U357" s="121"/>
      <c r="V357" s="121"/>
    </row>
    <row r="358" spans="1:22" ht="15.75">
      <c r="A358" s="121"/>
      <c r="B358" s="477">
        <v>4</v>
      </c>
      <c r="C358" s="640">
        <f>C413</f>
        <v>36</v>
      </c>
      <c r="D358" s="236" t="s">
        <v>527</v>
      </c>
      <c r="E358" s="641">
        <f t="shared" ref="E358:E367" si="117">E413</f>
        <v>880540.93733759993</v>
      </c>
      <c r="F358" s="641"/>
      <c r="G358" s="642"/>
      <c r="H358" s="641">
        <f t="shared" ref="H358:H367" si="118">H413</f>
        <v>854894.11392000003</v>
      </c>
      <c r="I358" s="641"/>
      <c r="J358" s="642"/>
      <c r="K358" s="641">
        <f t="shared" ref="K358:K367" si="119">K413</f>
        <v>825984.49204517377</v>
      </c>
      <c r="L358" s="641"/>
      <c r="M358" s="642"/>
      <c r="N358" s="641">
        <f t="shared" ref="N358:N367" si="120">N413</f>
        <v>825984.49204517377</v>
      </c>
      <c r="O358" s="641"/>
      <c r="P358" s="642"/>
      <c r="Q358" s="638"/>
      <c r="R358" s="121"/>
      <c r="S358" s="121"/>
      <c r="T358" s="121"/>
      <c r="U358" s="121"/>
      <c r="V358" s="121"/>
    </row>
    <row r="359" spans="1:22" ht="15.75">
      <c r="A359" s="121"/>
      <c r="B359" s="471">
        <v>10</v>
      </c>
      <c r="C359" s="472">
        <f>porantighorsup</f>
        <v>1.2</v>
      </c>
      <c r="D359" s="239" t="s">
        <v>477</v>
      </c>
      <c r="E359" s="643">
        <f t="shared" si="117"/>
        <v>1086649.1248051198</v>
      </c>
      <c r="F359" s="643"/>
      <c r="G359" s="644"/>
      <c r="H359" s="643">
        <f t="shared" si="118"/>
        <v>1055872.936704</v>
      </c>
      <c r="I359" s="643"/>
      <c r="J359" s="644"/>
      <c r="K359" s="643">
        <f t="shared" si="119"/>
        <v>1021181.3904542085</v>
      </c>
      <c r="L359" s="643"/>
      <c r="M359" s="644"/>
      <c r="N359" s="643">
        <f t="shared" si="120"/>
        <v>1021181.3904542085</v>
      </c>
      <c r="O359" s="643"/>
      <c r="P359" s="644"/>
      <c r="Q359" s="638"/>
      <c r="R359" s="121"/>
      <c r="S359" s="121"/>
      <c r="T359" s="121"/>
      <c r="U359" s="121"/>
      <c r="V359" s="121"/>
    </row>
    <row r="360" spans="1:22" ht="15.75">
      <c r="A360" s="121"/>
      <c r="B360" s="477">
        <v>6</v>
      </c>
      <c r="C360" s="492">
        <f>C415</f>
        <v>17</v>
      </c>
      <c r="D360" s="236" t="s">
        <v>476</v>
      </c>
      <c r="E360" s="645">
        <f t="shared" si="117"/>
        <v>77412.297460499991</v>
      </c>
      <c r="F360" s="645"/>
      <c r="G360" s="237"/>
      <c r="H360" s="645">
        <f t="shared" si="118"/>
        <v>75157.570349999995</v>
      </c>
      <c r="I360" s="645"/>
      <c r="J360" s="237"/>
      <c r="K360" s="645">
        <f t="shared" si="119"/>
        <v>72616.009999999995</v>
      </c>
      <c r="L360" s="645"/>
      <c r="M360" s="237"/>
      <c r="N360" s="645">
        <f t="shared" si="120"/>
        <v>72616.009999999995</v>
      </c>
      <c r="O360" s="645"/>
      <c r="P360" s="237"/>
      <c r="Q360" s="638"/>
      <c r="R360" s="121"/>
      <c r="S360" s="121"/>
      <c r="T360" s="121"/>
      <c r="U360" s="121"/>
      <c r="V360" s="121"/>
    </row>
    <row r="361" spans="1:22" ht="15.75">
      <c r="A361" s="121"/>
      <c r="B361" s="471">
        <v>14</v>
      </c>
      <c r="C361" s="472">
        <v>7.0000000000000007E-2</v>
      </c>
      <c r="D361" s="239" t="s">
        <v>528</v>
      </c>
      <c r="E361" s="643">
        <f t="shared" si="117"/>
        <v>5418.8608222349994</v>
      </c>
      <c r="F361" s="643"/>
      <c r="G361" s="644"/>
      <c r="H361" s="643">
        <f t="shared" si="118"/>
        <v>5261.0299245000006</v>
      </c>
      <c r="I361" s="643"/>
      <c r="J361" s="644"/>
      <c r="K361" s="643">
        <f t="shared" si="119"/>
        <v>5083.1207000000004</v>
      </c>
      <c r="L361" s="643"/>
      <c r="M361" s="644"/>
      <c r="N361" s="643">
        <f t="shared" si="120"/>
        <v>5083.1207000000004</v>
      </c>
      <c r="O361" s="643"/>
      <c r="P361" s="644"/>
      <c r="Q361" s="638"/>
      <c r="R361" s="121"/>
      <c r="S361" s="121"/>
      <c r="T361" s="121"/>
      <c r="U361" s="121"/>
      <c r="V361" s="121"/>
    </row>
    <row r="362" spans="1:22" ht="15.75">
      <c r="A362" s="121"/>
      <c r="B362" s="465">
        <v>188</v>
      </c>
      <c r="C362" s="646">
        <v>7.0000000000000007E-2</v>
      </c>
      <c r="D362" s="467" t="s">
        <v>479</v>
      </c>
      <c r="E362" s="647">
        <f t="shared" si="117"/>
        <v>151018.46921514219</v>
      </c>
      <c r="F362" s="647"/>
      <c r="G362" s="237"/>
      <c r="H362" s="647">
        <f t="shared" si="118"/>
        <v>146732.00894674001</v>
      </c>
      <c r="I362" s="647"/>
      <c r="J362" s="237"/>
      <c r="K362" s="647">
        <f t="shared" si="119"/>
        <v>141900.22569095678</v>
      </c>
      <c r="L362" s="647"/>
      <c r="M362" s="237"/>
      <c r="N362" s="647">
        <f t="shared" si="120"/>
        <v>141900.22569095678</v>
      </c>
      <c r="O362" s="647"/>
      <c r="P362" s="237"/>
      <c r="Q362" s="638"/>
      <c r="R362" s="121"/>
      <c r="S362" s="121"/>
      <c r="T362" s="121"/>
      <c r="U362" s="121"/>
      <c r="V362" s="121"/>
    </row>
    <row r="363" spans="1:22" ht="15.75">
      <c r="A363" s="121"/>
      <c r="B363" s="471">
        <v>117</v>
      </c>
      <c r="C363" s="648"/>
      <c r="D363" s="239" t="s">
        <v>484</v>
      </c>
      <c r="E363" s="643">
        <f t="shared" si="117"/>
        <v>55322.876680739995</v>
      </c>
      <c r="F363" s="643"/>
      <c r="G363" s="237"/>
      <c r="H363" s="643">
        <f t="shared" si="118"/>
        <v>53711.530757999994</v>
      </c>
      <c r="I363" s="643"/>
      <c r="J363" s="237"/>
      <c r="K363" s="643">
        <f t="shared" si="119"/>
        <v>51895.198799999998</v>
      </c>
      <c r="L363" s="643"/>
      <c r="M363" s="237"/>
      <c r="N363" s="643">
        <f t="shared" si="120"/>
        <v>51895.198799999998</v>
      </c>
      <c r="O363" s="643"/>
      <c r="P363" s="237"/>
      <c r="Q363" s="638"/>
      <c r="R363" s="121"/>
      <c r="S363" s="121"/>
      <c r="T363" s="121"/>
      <c r="U363" s="121"/>
      <c r="V363" s="121"/>
    </row>
    <row r="364" spans="1:22" ht="15.75">
      <c r="A364" s="121"/>
      <c r="B364" s="477">
        <v>29</v>
      </c>
      <c r="C364" s="477">
        <f>cantkmhs</f>
        <v>0</v>
      </c>
      <c r="D364" s="236" t="s">
        <v>486</v>
      </c>
      <c r="E364" s="645">
        <f t="shared" si="117"/>
        <v>0</v>
      </c>
      <c r="F364" s="645"/>
      <c r="G364" s="237"/>
      <c r="H364" s="645">
        <f t="shared" si="118"/>
        <v>0</v>
      </c>
      <c r="I364" s="645"/>
      <c r="J364" s="237"/>
      <c r="K364" s="645">
        <f t="shared" si="119"/>
        <v>0</v>
      </c>
      <c r="L364" s="645"/>
      <c r="M364" s="237"/>
      <c r="N364" s="645">
        <f t="shared" si="120"/>
        <v>0</v>
      </c>
      <c r="O364" s="645"/>
      <c r="P364" s="237"/>
      <c r="Q364" s="638"/>
      <c r="R364" s="121"/>
      <c r="S364" s="121"/>
      <c r="T364" s="121"/>
      <c r="U364" s="121"/>
      <c r="V364" s="121"/>
    </row>
    <row r="365" spans="1:22" ht="16.5" thickBot="1">
      <c r="A365" s="121"/>
      <c r="B365" s="483">
        <v>38</v>
      </c>
      <c r="C365" s="649">
        <f>D353</f>
        <v>15</v>
      </c>
      <c r="D365" s="485" t="s">
        <v>531</v>
      </c>
      <c r="E365" s="650">
        <f t="shared" si="117"/>
        <v>109893.76424999999</v>
      </c>
      <c r="F365" s="650"/>
      <c r="G365" s="651"/>
      <c r="H365" s="650">
        <f t="shared" si="118"/>
        <v>106692.97499999999</v>
      </c>
      <c r="I365" s="650"/>
      <c r="J365" s="651"/>
      <c r="K365" s="650">
        <f t="shared" si="119"/>
        <v>103085</v>
      </c>
      <c r="L365" s="650"/>
      <c r="M365" s="651"/>
      <c r="N365" s="650">
        <f t="shared" si="120"/>
        <v>103085</v>
      </c>
      <c r="O365" s="650"/>
      <c r="P365" s="651"/>
      <c r="Q365" s="638"/>
      <c r="R365" s="121"/>
      <c r="S365" s="121"/>
      <c r="T365" s="121"/>
      <c r="U365" s="121"/>
      <c r="V365" s="121"/>
    </row>
    <row r="366" spans="1:22" ht="16.5" thickBot="1">
      <c r="A366" s="121"/>
      <c r="B366" s="256">
        <v>25</v>
      </c>
      <c r="C366" s="486">
        <v>1</v>
      </c>
      <c r="D366" s="363" t="s">
        <v>485</v>
      </c>
      <c r="E366" s="652">
        <f t="shared" si="117"/>
        <v>25000</v>
      </c>
      <c r="F366" s="650"/>
      <c r="G366" s="651"/>
      <c r="H366" s="652">
        <f t="shared" si="118"/>
        <v>25000</v>
      </c>
      <c r="I366" s="650"/>
      <c r="J366" s="651"/>
      <c r="K366" s="652">
        <f t="shared" si="119"/>
        <v>25000</v>
      </c>
      <c r="L366" s="650"/>
      <c r="M366" s="651"/>
      <c r="N366" s="652">
        <f t="shared" si="120"/>
        <v>25000</v>
      </c>
      <c r="O366" s="650"/>
      <c r="P366" s="651"/>
      <c r="Q366" s="638"/>
      <c r="R366" s="121"/>
      <c r="S366" s="121"/>
      <c r="T366" s="121"/>
      <c r="U366" s="121"/>
      <c r="V366" s="121"/>
    </row>
    <row r="367" spans="1:22" ht="15.75">
      <c r="A367" s="121"/>
      <c r="B367" s="465"/>
      <c r="C367" s="653"/>
      <c r="D367" s="654" t="s">
        <v>539</v>
      </c>
      <c r="E367" s="655">
        <f t="shared" si="117"/>
        <v>2391256.3305713371</v>
      </c>
      <c r="F367" s="655"/>
      <c r="G367" s="656"/>
      <c r="H367" s="655">
        <f t="shared" si="118"/>
        <v>2323322.16560324</v>
      </c>
      <c r="I367" s="655"/>
      <c r="J367" s="656"/>
      <c r="K367" s="655">
        <f t="shared" si="119"/>
        <v>2246745.4376903391</v>
      </c>
      <c r="L367" s="655"/>
      <c r="M367" s="656"/>
      <c r="N367" s="655">
        <f t="shared" si="120"/>
        <v>2246745.4376903391</v>
      </c>
      <c r="O367" s="655"/>
      <c r="P367" s="656"/>
      <c r="Q367" s="638"/>
      <c r="R367" s="121"/>
      <c r="S367" s="121"/>
      <c r="T367" s="121"/>
      <c r="U367" s="121"/>
      <c r="V367" s="121"/>
    </row>
    <row r="368" spans="1:22" ht="15.75">
      <c r="A368" s="121"/>
      <c r="B368" s="490" t="s">
        <v>533</v>
      </c>
      <c r="C368" s="657"/>
      <c r="D368" s="239"/>
      <c r="E368" s="658">
        <v>0</v>
      </c>
      <c r="F368" s="643"/>
      <c r="G368" s="644"/>
      <c r="H368" s="658">
        <v>0</v>
      </c>
      <c r="I368" s="643"/>
      <c r="J368" s="644"/>
      <c r="K368" s="658">
        <v>0</v>
      </c>
      <c r="L368" s="643"/>
      <c r="M368" s="644"/>
      <c r="N368" s="658">
        <v>0</v>
      </c>
      <c r="O368" s="643"/>
      <c r="P368" s="644"/>
      <c r="Q368" s="638"/>
      <c r="R368" s="121"/>
      <c r="S368" s="121"/>
      <c r="T368" s="121"/>
      <c r="U368" s="121"/>
      <c r="V368" s="121"/>
    </row>
    <row r="369" spans="1:22" ht="15.75">
      <c r="A369" s="325">
        <f>1.6874*1.1888-1</f>
        <v>1.00598112</v>
      </c>
      <c r="B369" s="659"/>
      <c r="C369" s="660"/>
      <c r="D369" s="236"/>
      <c r="E369" s="645">
        <f>E424</f>
        <v>0</v>
      </c>
      <c r="F369" s="645"/>
      <c r="G369" s="237"/>
      <c r="H369" s="645">
        <f>H424</f>
        <v>0</v>
      </c>
      <c r="I369" s="645"/>
      <c r="J369" s="237"/>
      <c r="K369" s="645">
        <f>K424</f>
        <v>0</v>
      </c>
      <c r="L369" s="645"/>
      <c r="M369" s="237"/>
      <c r="N369" s="645">
        <f>N424</f>
        <v>0</v>
      </c>
      <c r="O369" s="645"/>
      <c r="P369" s="237"/>
      <c r="Q369" s="638"/>
      <c r="R369" s="121"/>
      <c r="S369" s="121"/>
      <c r="T369" s="121"/>
      <c r="U369" s="121"/>
      <c r="V369" s="121"/>
    </row>
    <row r="370" spans="1:22" ht="15.75">
      <c r="A370" s="121"/>
      <c r="B370" s="856">
        <v>184</v>
      </c>
      <c r="C370" s="661">
        <f>C425</f>
        <v>23.999999999999996</v>
      </c>
      <c r="D370" s="239" t="s">
        <v>490</v>
      </c>
      <c r="E370" s="859">
        <f>E425</f>
        <v>102139</v>
      </c>
      <c r="F370" s="643"/>
      <c r="G370" s="237"/>
      <c r="H370" s="859">
        <f>H425</f>
        <v>73504.799999999988</v>
      </c>
      <c r="I370" s="643"/>
      <c r="J370" s="237"/>
      <c r="K370" s="643">
        <f>K425</f>
        <v>73504.799999999988</v>
      </c>
      <c r="L370" s="643"/>
      <c r="M370" s="237"/>
      <c r="N370" s="643">
        <f>N425</f>
        <v>73504.799999999988</v>
      </c>
      <c r="O370" s="643"/>
      <c r="P370" s="237"/>
      <c r="Q370" s="638"/>
      <c r="R370" s="121"/>
      <c r="S370" s="121"/>
      <c r="T370" s="121"/>
      <c r="U370" s="121"/>
      <c r="V370" s="121"/>
    </row>
    <row r="371" spans="1:22" ht="15.75">
      <c r="A371" s="121"/>
      <c r="B371" s="857">
        <v>204</v>
      </c>
      <c r="C371" s="475">
        <f>C426</f>
        <v>24</v>
      </c>
      <c r="D371" s="467" t="s">
        <v>491</v>
      </c>
      <c r="E371" s="663">
        <f>E426</f>
        <v>76297</v>
      </c>
      <c r="F371" s="849" t="s">
        <v>554</v>
      </c>
      <c r="G371" s="662"/>
      <c r="H371" s="663">
        <f>H426</f>
        <v>54907.200000000004</v>
      </c>
      <c r="I371" s="849" t="s">
        <v>554</v>
      </c>
      <c r="J371" s="662"/>
      <c r="K371" s="647">
        <f>K426</f>
        <v>54907.200000000004</v>
      </c>
      <c r="L371" s="647"/>
      <c r="M371" s="662"/>
      <c r="N371" s="647">
        <f>N426</f>
        <v>54907.200000000004</v>
      </c>
      <c r="O371" s="647"/>
      <c r="P371" s="662"/>
      <c r="Q371" s="638"/>
      <c r="R371" s="121"/>
      <c r="S371" s="121"/>
      <c r="T371" s="121"/>
      <c r="U371" s="121"/>
      <c r="V371" s="121"/>
    </row>
    <row r="372" spans="1:22" ht="15.75">
      <c r="A372" s="121"/>
      <c r="B372" s="857">
        <v>234</v>
      </c>
      <c r="C372" s="855">
        <f t="shared" ref="C372:C373" si="121">C427</f>
        <v>15</v>
      </c>
      <c r="D372" s="846" t="s">
        <v>551</v>
      </c>
      <c r="E372" s="663">
        <f t="shared" ref="E372:E374" si="122">E427</f>
        <v>36000</v>
      </c>
      <c r="F372" s="850">
        <f>SUM(E370:E373)</f>
        <v>238436</v>
      </c>
      <c r="G372" s="662"/>
      <c r="H372" s="663">
        <f t="shared" ref="H372:H374" si="123">H427</f>
        <v>36000</v>
      </c>
      <c r="I372" s="850">
        <f>SUM(H370:H373)</f>
        <v>188412</v>
      </c>
      <c r="J372" s="662"/>
      <c r="K372" s="647"/>
      <c r="L372" s="647"/>
      <c r="M372" s="662"/>
      <c r="N372" s="647"/>
      <c r="O372" s="647"/>
      <c r="P372" s="662"/>
      <c r="Q372" s="638"/>
      <c r="R372" s="121"/>
      <c r="S372" s="121"/>
      <c r="T372" s="121"/>
      <c r="U372" s="121"/>
      <c r="V372" s="121"/>
    </row>
    <row r="373" spans="1:22" ht="18.75">
      <c r="A373" s="121"/>
      <c r="B373" s="858">
        <v>244</v>
      </c>
      <c r="C373" s="855">
        <f t="shared" si="121"/>
        <v>15</v>
      </c>
      <c r="D373" s="848" t="s">
        <v>552</v>
      </c>
      <c r="E373" s="663">
        <f t="shared" si="122"/>
        <v>24000</v>
      </c>
      <c r="F373" s="860">
        <f>F372/F382</f>
        <v>0.11334578508859718</v>
      </c>
      <c r="G373" s="644"/>
      <c r="H373" s="663">
        <f t="shared" si="123"/>
        <v>24000</v>
      </c>
      <c r="I373" s="860">
        <f>I372/I382</f>
        <v>9.4177591839368482E-2</v>
      </c>
      <c r="J373" s="644"/>
      <c r="K373" s="663">
        <f t="shared" ref="K373:K374" si="124">K428</f>
        <v>24000</v>
      </c>
      <c r="L373" s="643"/>
      <c r="M373" s="644"/>
      <c r="N373" s="664"/>
      <c r="O373" s="643"/>
      <c r="P373" s="644"/>
      <c r="Q373" s="638"/>
      <c r="R373" s="121"/>
      <c r="S373" s="121"/>
      <c r="T373" s="121"/>
      <c r="U373" s="121"/>
      <c r="V373" s="121"/>
    </row>
    <row r="374" spans="1:22" ht="15.75">
      <c r="A374" s="121"/>
      <c r="B374" s="477"/>
      <c r="C374" s="665"/>
      <c r="D374" s="666" t="s">
        <v>534</v>
      </c>
      <c r="E374" s="667">
        <f t="shared" si="122"/>
        <v>2629692.3305713371</v>
      </c>
      <c r="F374" s="667"/>
      <c r="G374" s="668"/>
      <c r="H374" s="667">
        <f t="shared" si="123"/>
        <v>2511734.16560324</v>
      </c>
      <c r="I374" s="667"/>
      <c r="J374" s="668"/>
      <c r="K374" s="667">
        <f t="shared" si="124"/>
        <v>2435157.4376903391</v>
      </c>
      <c r="L374" s="667"/>
      <c r="M374" s="668"/>
      <c r="N374" s="667">
        <f>N429</f>
        <v>2375157.4376903391</v>
      </c>
      <c r="O374" s="667"/>
      <c r="P374" s="668"/>
      <c r="Q374" s="638"/>
      <c r="R374" s="121"/>
      <c r="S374" s="121"/>
      <c r="T374" s="121"/>
      <c r="U374" s="121"/>
      <c r="V374" s="121"/>
    </row>
    <row r="375" spans="1:22" ht="15.75">
      <c r="A375" s="121"/>
      <c r="B375" s="471">
        <v>440</v>
      </c>
      <c r="C375" s="669"/>
      <c r="D375" s="239" t="s">
        <v>493</v>
      </c>
      <c r="E375" s="658">
        <v>0</v>
      </c>
      <c r="F375" s="643">
        <f t="shared" ref="F375:F380" si="125">F430</f>
        <v>0</v>
      </c>
      <c r="G375" s="644"/>
      <c r="H375" s="658">
        <v>0</v>
      </c>
      <c r="I375" s="643">
        <f t="shared" ref="I375:I380" si="126">I430</f>
        <v>0</v>
      </c>
      <c r="J375" s="644"/>
      <c r="K375" s="658">
        <v>0</v>
      </c>
      <c r="L375" s="643">
        <f t="shared" ref="L375:L380" si="127">L430</f>
        <v>0</v>
      </c>
      <c r="M375" s="644"/>
      <c r="N375" s="658">
        <v>0</v>
      </c>
      <c r="O375" s="643">
        <f t="shared" ref="O375:O380" si="128">O430</f>
        <v>0</v>
      </c>
      <c r="P375" s="644"/>
      <c r="Q375" s="638"/>
      <c r="R375" s="121"/>
      <c r="S375" s="121"/>
      <c r="T375" s="121"/>
      <c r="U375" s="121"/>
      <c r="V375" s="121"/>
    </row>
    <row r="376" spans="1:22" ht="15.75">
      <c r="A376" s="121"/>
      <c r="B376" s="477">
        <v>502</v>
      </c>
      <c r="C376" s="276" t="s">
        <v>494</v>
      </c>
      <c r="D376" s="504" t="s">
        <v>535</v>
      </c>
      <c r="E376" s="468"/>
      <c r="F376" s="641">
        <f t="shared" si="125"/>
        <v>-454338.70280855405</v>
      </c>
      <c r="G376" s="670"/>
      <c r="H376" s="468"/>
      <c r="I376" s="641">
        <f t="shared" si="126"/>
        <v>-441431.2114646156</v>
      </c>
      <c r="J376" s="670"/>
      <c r="K376" s="468"/>
      <c r="L376" s="641">
        <f t="shared" si="127"/>
        <v>-426881.63316116441</v>
      </c>
      <c r="M376" s="670"/>
      <c r="N376" s="468"/>
      <c r="O376" s="641">
        <f t="shared" si="128"/>
        <v>-426881.63316116441</v>
      </c>
      <c r="P376" s="670"/>
      <c r="Q376" s="638"/>
      <c r="R376" s="121"/>
      <c r="S376" s="121"/>
      <c r="T376" s="121"/>
      <c r="U376" s="121"/>
      <c r="V376" s="121"/>
    </row>
    <row r="377" spans="1:22" ht="15.75">
      <c r="A377" s="121"/>
      <c r="B377" s="477">
        <v>505</v>
      </c>
      <c r="C377" s="477">
        <v>0.03</v>
      </c>
      <c r="D377" s="504" t="s">
        <v>536</v>
      </c>
      <c r="E377" s="468"/>
      <c r="F377" s="641">
        <f t="shared" si="125"/>
        <v>-71737.689917140116</v>
      </c>
      <c r="G377" s="670"/>
      <c r="H377" s="468"/>
      <c r="I377" s="641">
        <f t="shared" si="126"/>
        <v>-69699.664968097204</v>
      </c>
      <c r="J377" s="670"/>
      <c r="K377" s="468"/>
      <c r="L377" s="641">
        <f t="shared" si="127"/>
        <v>-67402.363130710175</v>
      </c>
      <c r="M377" s="670"/>
      <c r="N377" s="468"/>
      <c r="O377" s="641">
        <f t="shared" si="128"/>
        <v>-67402.363130710175</v>
      </c>
      <c r="P377" s="670"/>
      <c r="Q377" s="638"/>
      <c r="R377" s="121"/>
      <c r="S377" s="121"/>
      <c r="T377" s="121"/>
      <c r="U377" s="121"/>
      <c r="V377" s="121"/>
    </row>
    <row r="378" spans="1:22" ht="15.75">
      <c r="A378" s="121"/>
      <c r="B378" s="671">
        <v>332</v>
      </c>
      <c r="C378" s="672">
        <v>0</v>
      </c>
      <c r="D378" s="500" t="s">
        <v>498</v>
      </c>
      <c r="E378" s="473"/>
      <c r="F378" s="673">
        <f t="shared" si="125"/>
        <v>0</v>
      </c>
      <c r="G378" s="674"/>
      <c r="H378" s="473"/>
      <c r="I378" s="673">
        <f t="shared" si="126"/>
        <v>0</v>
      </c>
      <c r="J378" s="674"/>
      <c r="K378" s="473"/>
      <c r="L378" s="673">
        <f t="shared" si="127"/>
        <v>0</v>
      </c>
      <c r="M378" s="674"/>
      <c r="N378" s="473"/>
      <c r="O378" s="673">
        <f t="shared" si="128"/>
        <v>0</v>
      </c>
      <c r="P378" s="674"/>
      <c r="Q378" s="638"/>
      <c r="R378" s="121"/>
      <c r="S378" s="121"/>
      <c r="T378" s="121"/>
      <c r="U378" s="121"/>
      <c r="V378" s="121"/>
    </row>
    <row r="379" spans="1:22" ht="15.75">
      <c r="A379" s="121"/>
      <c r="B379" s="502" t="s">
        <v>499</v>
      </c>
      <c r="C379" s="478">
        <v>0</v>
      </c>
      <c r="D379" s="236"/>
      <c r="E379" s="645"/>
      <c r="F379" s="645">
        <f t="shared" si="125"/>
        <v>0</v>
      </c>
      <c r="G379" s="237"/>
      <c r="H379" s="645"/>
      <c r="I379" s="645">
        <f t="shared" si="126"/>
        <v>0</v>
      </c>
      <c r="J379" s="237"/>
      <c r="K379" s="645"/>
      <c r="L379" s="645">
        <f t="shared" si="127"/>
        <v>0</v>
      </c>
      <c r="M379" s="237"/>
      <c r="N379" s="645"/>
      <c r="O379" s="645">
        <f t="shared" si="128"/>
        <v>0</v>
      </c>
      <c r="P379" s="237"/>
      <c r="Q379" s="638"/>
      <c r="R379" s="121"/>
      <c r="S379" s="121"/>
      <c r="T379" s="121"/>
      <c r="U379" s="121"/>
      <c r="V379" s="121"/>
    </row>
    <row r="380" spans="1:22" ht="15.75">
      <c r="A380" s="121"/>
      <c r="B380" s="675"/>
      <c r="C380" s="675"/>
      <c r="D380" s="676" t="s">
        <v>500</v>
      </c>
      <c r="E380" s="677"/>
      <c r="F380" s="677">
        <f t="shared" si="125"/>
        <v>-526076.39272569423</v>
      </c>
      <c r="G380" s="678"/>
      <c r="H380" s="677"/>
      <c r="I380" s="677">
        <f t="shared" si="126"/>
        <v>-511130.87643271277</v>
      </c>
      <c r="J380" s="678"/>
      <c r="K380" s="677"/>
      <c r="L380" s="677">
        <f t="shared" si="127"/>
        <v>-494283.99629187456</v>
      </c>
      <c r="M380" s="678"/>
      <c r="N380" s="677"/>
      <c r="O380" s="677">
        <f t="shared" si="128"/>
        <v>-494283.99629187456</v>
      </c>
      <c r="P380" s="678"/>
      <c r="Q380" s="638"/>
      <c r="R380" s="121"/>
      <c r="S380" s="121"/>
      <c r="T380" s="121"/>
      <c r="U380" s="121"/>
      <c r="V380" s="121"/>
    </row>
    <row r="381" spans="1:22" ht="15.75">
      <c r="A381" s="121"/>
      <c r="B381" s="679"/>
      <c r="C381" s="679"/>
      <c r="D381" s="679"/>
      <c r="E381" s="680"/>
      <c r="F381" s="680"/>
      <c r="G381" s="681"/>
      <c r="H381" s="680"/>
      <c r="I381" s="680"/>
      <c r="J381" s="681"/>
      <c r="K381" s="680"/>
      <c r="L381" s="680"/>
      <c r="M381" s="681"/>
      <c r="N381" s="680"/>
      <c r="O381" s="680"/>
      <c r="P381" s="681"/>
      <c r="Q381" s="121"/>
      <c r="R381" s="121"/>
      <c r="S381" s="121"/>
      <c r="T381" s="121"/>
      <c r="U381" s="121"/>
      <c r="V381" s="121"/>
    </row>
    <row r="382" spans="1:22" ht="18">
      <c r="A382" s="682"/>
      <c r="B382" s="683"/>
      <c r="C382" s="682"/>
      <c r="D382" s="684"/>
      <c r="E382" s="685" t="str">
        <f t="shared" ref="E382:F382" si="129">E437</f>
        <v>Sueldo líquido</v>
      </c>
      <c r="F382" s="685">
        <f t="shared" si="129"/>
        <v>2103615.9378456427</v>
      </c>
      <c r="G382" s="684"/>
      <c r="H382" s="685" t="str">
        <f t="shared" ref="H382:I382" si="130">H437</f>
        <v>Sueldo líquido</v>
      </c>
      <c r="I382" s="685">
        <f t="shared" si="130"/>
        <v>2000603.2891705274</v>
      </c>
      <c r="J382" s="684"/>
      <c r="K382" s="685" t="str">
        <f t="shared" ref="K382:L382" si="131">K437</f>
        <v>Sueldo líquido</v>
      </c>
      <c r="L382" s="685">
        <f t="shared" si="131"/>
        <v>1940873.4413984646</v>
      </c>
      <c r="M382" s="684"/>
      <c r="N382" s="685" t="str">
        <f t="shared" ref="N382:O382" si="132">N437</f>
        <v>Sueldo líquido</v>
      </c>
      <c r="O382" s="685">
        <f t="shared" si="132"/>
        <v>1880873.4413984646</v>
      </c>
      <c r="P382" s="684"/>
      <c r="Q382" s="686"/>
      <c r="R382" s="682"/>
      <c r="S382" s="682"/>
      <c r="T382" s="682"/>
      <c r="U382" s="682"/>
      <c r="V382" s="682"/>
    </row>
    <row r="383" spans="1:22" ht="15.75">
      <c r="A383" s="121"/>
      <c r="B383" s="687"/>
      <c r="C383" s="31"/>
      <c r="D383" s="96"/>
      <c r="E383" s="688"/>
      <c r="F383" s="526"/>
      <c r="G383" s="524"/>
      <c r="H383" s="688"/>
      <c r="I383" s="526"/>
      <c r="J383" s="524"/>
      <c r="K383" s="688"/>
      <c r="L383" s="526"/>
      <c r="M383" s="524"/>
      <c r="N383" s="688"/>
      <c r="O383" s="526"/>
      <c r="P383" s="524"/>
      <c r="Q383" s="638"/>
      <c r="R383" s="121"/>
      <c r="S383" s="121"/>
      <c r="T383" s="121"/>
      <c r="U383" s="121"/>
      <c r="V383" s="121"/>
    </row>
    <row r="384" spans="1:22" ht="16.5" thickBot="1">
      <c r="A384" s="121"/>
      <c r="B384" s="367"/>
      <c r="C384" s="31"/>
      <c r="D384" s="96"/>
      <c r="E384" s="689"/>
      <c r="F384" s="690"/>
      <c r="G384" s="524"/>
      <c r="H384" s="689"/>
      <c r="I384" s="690"/>
      <c r="J384" s="524"/>
      <c r="K384" s="689"/>
      <c r="L384" s="690"/>
      <c r="M384" s="524"/>
      <c r="N384" s="689"/>
      <c r="O384" s="690"/>
      <c r="P384" s="524"/>
      <c r="Q384" s="638"/>
      <c r="R384" s="121"/>
      <c r="S384" s="121"/>
      <c r="T384" s="121"/>
      <c r="U384" s="121"/>
      <c r="V384" s="121"/>
    </row>
    <row r="385" spans="1:22" ht="15.75">
      <c r="A385" s="121"/>
      <c r="B385" s="367"/>
      <c r="C385" s="31"/>
      <c r="D385" s="96"/>
      <c r="E385" s="691" t="str">
        <f t="shared" ref="E385:F385" si="133">E439</f>
        <v>Aumento del mes</v>
      </c>
      <c r="F385" s="692">
        <f t="shared" si="133"/>
        <v>103012.64867511531</v>
      </c>
      <c r="G385" s="524"/>
      <c r="H385" s="691" t="str">
        <f t="shared" ref="H385:I386" si="134">H439</f>
        <v>Aumento del mes</v>
      </c>
      <c r="I385" s="692">
        <f t="shared" si="134"/>
        <v>59729.847772062756</v>
      </c>
      <c r="J385" s="524"/>
      <c r="K385" s="691" t="str">
        <f t="shared" ref="K385:L386" si="135">K439</f>
        <v>Aumento del mes</v>
      </c>
      <c r="L385" s="692">
        <f t="shared" si="135"/>
        <v>60000</v>
      </c>
      <c r="M385" s="524"/>
      <c r="N385" s="691" t="str">
        <f t="shared" ref="N385:O386" si="136">N439</f>
        <v>Aumento del mes</v>
      </c>
      <c r="O385" s="692">
        <f t="shared" si="136"/>
        <v>0</v>
      </c>
      <c r="P385" s="524"/>
      <c r="Q385" s="638"/>
      <c r="R385" s="121"/>
      <c r="S385" s="121"/>
      <c r="T385" s="121"/>
      <c r="U385" s="121"/>
      <c r="V385" s="121"/>
    </row>
    <row r="386" spans="1:22" ht="16.5" thickBot="1">
      <c r="A386" s="121"/>
      <c r="B386" s="367"/>
      <c r="C386" s="31"/>
      <c r="D386" s="96"/>
      <c r="E386" s="693" t="str">
        <f t="shared" ref="E386:F386" si="137">E440</f>
        <v>Porc resp a anterior</v>
      </c>
      <c r="F386" s="694">
        <f t="shared" si="137"/>
        <v>5.1490792418833579E-2</v>
      </c>
      <c r="G386" s="524"/>
      <c r="H386" s="693" t="str">
        <f t="shared" si="134"/>
        <v>Porc resp a anterior</v>
      </c>
      <c r="I386" s="694">
        <f t="shared" si="134"/>
        <v>3.077472569722289E-2</v>
      </c>
      <c r="J386" s="524"/>
      <c r="K386" s="693" t="str">
        <f t="shared" si="135"/>
        <v>Porc resp a anterior</v>
      </c>
      <c r="L386" s="694">
        <f t="shared" si="135"/>
        <v>3.1900072955141988E-2</v>
      </c>
      <c r="M386" s="524"/>
      <c r="N386" s="693" t="str">
        <f t="shared" si="136"/>
        <v>Porc resp a anterior</v>
      </c>
      <c r="O386" s="694">
        <f t="shared" si="136"/>
        <v>0</v>
      </c>
      <c r="P386" s="524"/>
      <c r="Q386" s="638"/>
      <c r="R386" s="121"/>
      <c r="S386" s="121"/>
      <c r="T386" s="121"/>
      <c r="U386" s="121"/>
      <c r="V386" s="121"/>
    </row>
    <row r="387" spans="1:22" ht="16.5" thickBot="1">
      <c r="A387" s="121"/>
      <c r="B387" s="31"/>
      <c r="C387" s="31"/>
      <c r="D387" s="695"/>
      <c r="E387" s="689"/>
      <c r="F387" s="689"/>
      <c r="G387" s="286"/>
      <c r="H387" s="689"/>
      <c r="I387" s="689"/>
      <c r="J387" s="286"/>
      <c r="K387" s="689"/>
      <c r="L387" s="689"/>
      <c r="M387" s="286"/>
      <c r="N387" s="689"/>
      <c r="O387" s="689"/>
      <c r="P387" s="286"/>
      <c r="Q387" s="638"/>
      <c r="R387" s="121"/>
      <c r="S387" s="121"/>
      <c r="T387" s="121"/>
      <c r="U387" s="121"/>
      <c r="V387" s="121"/>
    </row>
    <row r="388" spans="1:22" ht="15.75">
      <c r="A388" s="121"/>
      <c r="B388" s="529"/>
      <c r="C388" s="696"/>
      <c r="D388" s="85"/>
      <c r="E388" s="697" t="str">
        <f>E442</f>
        <v>Aumento acumulado</v>
      </c>
      <c r="F388" s="306">
        <f>F442</f>
        <v>222742.49644717807</v>
      </c>
      <c r="G388" s="532"/>
      <c r="H388" s="697" t="str">
        <f>H442</f>
        <v>Aumento acumulado</v>
      </c>
      <c r="I388" s="306">
        <f>I442</f>
        <v>119729.84777206276</v>
      </c>
      <c r="J388" s="532"/>
      <c r="K388" s="697" t="str">
        <f>K442</f>
        <v>Aumento acumulado</v>
      </c>
      <c r="L388" s="306">
        <f>L442</f>
        <v>60000</v>
      </c>
      <c r="M388" s="532"/>
      <c r="N388" s="697" t="str">
        <f>N442</f>
        <v>Aumento acumulado</v>
      </c>
      <c r="O388" s="306">
        <f>O442</f>
        <v>0</v>
      </c>
      <c r="P388" s="532"/>
      <c r="Q388" s="638"/>
      <c r="R388" s="121"/>
      <c r="S388" s="121"/>
      <c r="T388" s="121"/>
      <c r="U388" s="121"/>
      <c r="V388" s="121"/>
    </row>
    <row r="389" spans="1:22" ht="18.75" thickBot="1">
      <c r="A389" s="121"/>
      <c r="B389" s="529"/>
      <c r="C389" s="96"/>
      <c r="D389" s="294"/>
      <c r="E389" s="698" t="str">
        <f>E443</f>
        <v>Porcentaje acumulado</v>
      </c>
      <c r="F389" s="539">
        <f>F443</f>
        <v>0.11842503144792392</v>
      </c>
      <c r="G389" s="532"/>
      <c r="H389" s="698" t="str">
        <f>H443</f>
        <v>Porcentaje acumulado</v>
      </c>
      <c r="I389" s="539">
        <f>I443</f>
        <v>6.3656514647280768E-2</v>
      </c>
      <c r="J389" s="532"/>
      <c r="K389" s="698" t="str">
        <f>K443</f>
        <v>Porcentaje acumulado</v>
      </c>
      <c r="L389" s="539">
        <f>L443</f>
        <v>3.1900072955141988E-2</v>
      </c>
      <c r="M389" s="532"/>
      <c r="N389" s="698" t="str">
        <f>N443</f>
        <v>Porcentaje acumulado</v>
      </c>
      <c r="O389" s="539">
        <f>O443</f>
        <v>0</v>
      </c>
      <c r="P389" s="532"/>
      <c r="Q389" s="638"/>
      <c r="R389" s="121"/>
      <c r="S389" s="121"/>
      <c r="T389" s="121"/>
      <c r="U389" s="121"/>
      <c r="V389" s="121"/>
    </row>
    <row r="390" spans="1:22" ht="16.5" thickBot="1">
      <c r="A390" s="121"/>
      <c r="B390" s="529"/>
      <c r="C390" s="699"/>
      <c r="D390" s="31"/>
      <c r="E390" s="689"/>
      <c r="F390" s="689"/>
      <c r="G390" s="532"/>
      <c r="H390" s="689"/>
      <c r="I390" s="689"/>
      <c r="J390" s="532"/>
      <c r="K390" s="689"/>
      <c r="L390" s="689"/>
      <c r="M390" s="532"/>
      <c r="N390" s="689"/>
      <c r="O390" s="689"/>
      <c r="P390" s="532"/>
      <c r="Q390" s="121"/>
      <c r="R390" s="121"/>
      <c r="S390" s="121"/>
      <c r="T390" s="121"/>
      <c r="U390" s="121"/>
      <c r="V390" s="121"/>
    </row>
    <row r="391" spans="1:22" ht="15.75">
      <c r="A391" s="121"/>
      <c r="B391" s="31"/>
      <c r="C391" s="31"/>
      <c r="D391" s="31"/>
      <c r="E391" s="700" t="str">
        <f t="shared" ref="E391:F391" si="138">E445</f>
        <v>Aumento Remunerativo</v>
      </c>
      <c r="F391" s="310">
        <f t="shared" si="138"/>
        <v>52988.648675115313</v>
      </c>
      <c r="G391" s="286"/>
      <c r="H391" s="700" t="str">
        <f t="shared" ref="H391:I392" si="139">H445</f>
        <v>Aumento Remunerativo</v>
      </c>
      <c r="I391" s="310">
        <f t="shared" si="139"/>
        <v>59729.847772062756</v>
      </c>
      <c r="J391" s="286"/>
      <c r="K391" s="700" t="str">
        <f t="shared" ref="K391:L392" si="140">K445</f>
        <v>Aumento Remunerativo</v>
      </c>
      <c r="L391" s="310">
        <f t="shared" si="140"/>
        <v>0</v>
      </c>
      <c r="M391" s="286"/>
      <c r="N391" s="700" t="str">
        <f t="shared" ref="N391:O392" si="141">N445</f>
        <v>Aumento Remunerativo</v>
      </c>
      <c r="O391" s="310">
        <f t="shared" si="141"/>
        <v>0</v>
      </c>
      <c r="P391" s="286"/>
      <c r="Q391" s="638"/>
      <c r="R391" s="121"/>
      <c r="S391" s="121"/>
      <c r="T391" s="121"/>
      <c r="U391" s="121"/>
      <c r="V391" s="121"/>
    </row>
    <row r="392" spans="1:22" ht="16.5" thickBot="1">
      <c r="A392" s="121"/>
      <c r="B392" s="31"/>
      <c r="C392" s="31"/>
      <c r="D392" s="31"/>
      <c r="E392" s="701" t="str">
        <f t="shared" ref="E392:F392" si="142">E446</f>
        <v>Rem Porcentual</v>
      </c>
      <c r="F392" s="547">
        <f t="shared" si="142"/>
        <v>2.8409403082213784E-2</v>
      </c>
      <c r="G392" s="286"/>
      <c r="H392" s="701" t="str">
        <f t="shared" si="139"/>
        <v>Rem Porcentual</v>
      </c>
      <c r="I392" s="547">
        <f t="shared" si="139"/>
        <v>3.4083401985950869E-2</v>
      </c>
      <c r="J392" s="286"/>
      <c r="K392" s="701" t="str">
        <f t="shared" si="140"/>
        <v>Rem Porcentual</v>
      </c>
      <c r="L392" s="547">
        <f t="shared" si="140"/>
        <v>0</v>
      </c>
      <c r="M392" s="286"/>
      <c r="N392" s="701" t="str">
        <f t="shared" si="141"/>
        <v>Rem Porcentual</v>
      </c>
      <c r="O392" s="547">
        <f t="shared" si="141"/>
        <v>0</v>
      </c>
      <c r="P392" s="286"/>
      <c r="Q392" s="638"/>
      <c r="R392" s="121"/>
      <c r="S392" s="121"/>
      <c r="T392" s="121"/>
      <c r="U392" s="121"/>
      <c r="V392" s="121"/>
    </row>
    <row r="393" spans="1:22" ht="16.5" thickBot="1">
      <c r="A393" s="121"/>
      <c r="B393" s="31"/>
      <c r="C393" s="31"/>
      <c r="D393" s="31"/>
      <c r="E393" s="689"/>
      <c r="F393" s="689"/>
      <c r="G393" s="286"/>
      <c r="H393" s="689"/>
      <c r="I393" s="689"/>
      <c r="J393" s="286"/>
      <c r="K393" s="689"/>
      <c r="L393" s="689"/>
      <c r="M393" s="286"/>
      <c r="N393" s="689"/>
      <c r="O393" s="689"/>
      <c r="P393" s="286"/>
      <c r="Q393" s="638"/>
      <c r="R393" s="121"/>
      <c r="S393" s="121"/>
      <c r="T393" s="121"/>
      <c r="U393" s="121"/>
      <c r="V393" s="121"/>
    </row>
    <row r="394" spans="1:22" ht="15.75">
      <c r="A394" s="121"/>
      <c r="B394" s="31"/>
      <c r="C394" s="31"/>
      <c r="D394" s="31"/>
      <c r="E394" s="309" t="s">
        <v>510</v>
      </c>
      <c r="F394" s="310">
        <f t="shared" ref="F394:F395" si="143">F448</f>
        <v>112718.49644717807</v>
      </c>
      <c r="G394" s="286"/>
      <c r="H394" s="309" t="s">
        <v>510</v>
      </c>
      <c r="I394" s="310">
        <f t="shared" ref="I394:I395" si="144">I448</f>
        <v>59729.847772062756</v>
      </c>
      <c r="J394" s="286"/>
      <c r="K394" s="309" t="s">
        <v>510</v>
      </c>
      <c r="L394" s="310">
        <f t="shared" ref="L394:L395" si="145">L448</f>
        <v>0</v>
      </c>
      <c r="M394" s="286"/>
      <c r="N394" s="689"/>
      <c r="O394" s="702"/>
      <c r="P394" s="286"/>
      <c r="Q394" s="638"/>
      <c r="R394" s="121"/>
      <c r="S394" s="121"/>
      <c r="T394" s="121"/>
      <c r="U394" s="121"/>
      <c r="V394" s="121"/>
    </row>
    <row r="395" spans="1:22" ht="16.5" thickBot="1">
      <c r="A395" s="121"/>
      <c r="B395" s="31"/>
      <c r="C395" s="31"/>
      <c r="D395" s="31"/>
      <c r="E395" s="311" t="s">
        <v>502</v>
      </c>
      <c r="F395" s="312">
        <f t="shared" si="143"/>
        <v>6.4320100736269939E-2</v>
      </c>
      <c r="G395" s="286"/>
      <c r="H395" s="311" t="s">
        <v>502</v>
      </c>
      <c r="I395" s="312">
        <f t="shared" si="144"/>
        <v>3.4083401985950869E-2</v>
      </c>
      <c r="J395" s="286"/>
      <c r="K395" s="311" t="s">
        <v>502</v>
      </c>
      <c r="L395" s="312">
        <f t="shared" si="145"/>
        <v>0</v>
      </c>
      <c r="M395" s="286"/>
      <c r="N395" s="689"/>
      <c r="O395" s="702"/>
      <c r="P395" s="286"/>
      <c r="Q395" s="638"/>
      <c r="R395" s="121"/>
      <c r="S395" s="121"/>
      <c r="T395" s="121"/>
      <c r="U395" s="121"/>
      <c r="V395" s="121"/>
    </row>
    <row r="396" spans="1:22" ht="16.5" thickBot="1">
      <c r="A396" s="121"/>
      <c r="B396" s="31"/>
      <c r="C396" s="31"/>
      <c r="D396" s="31"/>
      <c r="E396" s="689"/>
      <c r="F396" s="702"/>
      <c r="G396" s="286"/>
      <c r="H396" s="689"/>
      <c r="I396" s="702"/>
      <c r="J396" s="286"/>
      <c r="K396" s="689"/>
      <c r="L396" s="702"/>
      <c r="M396" s="286"/>
      <c r="N396" s="689"/>
      <c r="O396" s="702"/>
      <c r="P396" s="286"/>
      <c r="Q396" s="638"/>
      <c r="R396" s="121"/>
      <c r="S396" s="121"/>
      <c r="T396" s="121"/>
      <c r="U396" s="121"/>
      <c r="V396" s="121"/>
    </row>
    <row r="397" spans="1:22" ht="16.5" thickTop="1">
      <c r="A397" s="121"/>
      <c r="B397" s="31"/>
      <c r="C397" s="31"/>
      <c r="D397" s="31"/>
      <c r="E397" s="703" t="str">
        <f t="shared" ref="E397" si="146">E451</f>
        <v>Medio Aguinaldo</v>
      </c>
      <c r="F397" s="704"/>
      <c r="G397" s="286"/>
      <c r="H397" s="703" t="str">
        <f t="shared" ref="H397:I403" si="147">H451</f>
        <v>Medio Aguinaldo</v>
      </c>
      <c r="I397" s="704"/>
      <c r="J397" s="286"/>
      <c r="K397" s="703" t="str">
        <f t="shared" ref="K397:L403" si="148">K451</f>
        <v>Medio Aguinaldo</v>
      </c>
      <c r="L397" s="704"/>
      <c r="M397" s="286"/>
      <c r="N397" s="703" t="str">
        <f t="shared" ref="N397:O403" si="149">N451</f>
        <v>Medio Aguinaldo</v>
      </c>
      <c r="O397" s="704"/>
      <c r="P397" s="286"/>
      <c r="Q397" s="638"/>
      <c r="R397" s="121"/>
      <c r="S397" s="121"/>
      <c r="T397" s="121"/>
      <c r="U397" s="121"/>
      <c r="V397" s="121"/>
    </row>
    <row r="398" spans="1:22" ht="15.75">
      <c r="A398" s="121"/>
      <c r="B398" s="31"/>
      <c r="C398" s="31"/>
      <c r="D398" s="31"/>
      <c r="E398" s="705" t="str">
        <f t="shared" ref="E398:F398" si="150">E452</f>
        <v>código 100</v>
      </c>
      <c r="F398" s="706">
        <f t="shared" si="150"/>
        <v>1195628.1652856686</v>
      </c>
      <c r="G398" s="286"/>
      <c r="H398" s="705" t="str">
        <f t="shared" si="147"/>
        <v>código 100</v>
      </c>
      <c r="I398" s="706">
        <f t="shared" si="147"/>
        <v>1161661.08280162</v>
      </c>
      <c r="J398" s="286"/>
      <c r="K398" s="705" t="str">
        <f t="shared" si="148"/>
        <v>código 100</v>
      </c>
      <c r="L398" s="706">
        <f t="shared" si="148"/>
        <v>1123372.7188451695</v>
      </c>
      <c r="M398" s="286"/>
      <c r="N398" s="705" t="str">
        <f t="shared" si="149"/>
        <v>código 100</v>
      </c>
      <c r="O398" s="706">
        <f t="shared" si="149"/>
        <v>1123372.7188451695</v>
      </c>
      <c r="P398" s="286"/>
      <c r="Q398" s="121"/>
      <c r="R398" s="121"/>
      <c r="S398" s="121"/>
      <c r="T398" s="121"/>
      <c r="U398" s="121"/>
      <c r="V398" s="121"/>
    </row>
    <row r="399" spans="1:22" ht="15.75">
      <c r="A399" s="121"/>
      <c r="B399" s="31"/>
      <c r="C399" s="31"/>
      <c r="D399" s="31"/>
      <c r="E399" s="707" t="str">
        <f t="shared" ref="E399:F399" si="151">E453</f>
        <v>código 186 (No remun)</v>
      </c>
      <c r="F399" s="708">
        <f t="shared" si="151"/>
        <v>0</v>
      </c>
      <c r="G399" s="286"/>
      <c r="H399" s="707" t="str">
        <f t="shared" si="147"/>
        <v>código 186 (No remun)</v>
      </c>
      <c r="I399" s="708">
        <f t="shared" si="147"/>
        <v>0</v>
      </c>
      <c r="J399" s="286"/>
      <c r="K399" s="707" t="str">
        <f t="shared" si="148"/>
        <v>código 186 (No remun)</v>
      </c>
      <c r="L399" s="708">
        <f t="shared" si="148"/>
        <v>0</v>
      </c>
      <c r="M399" s="286"/>
      <c r="N399" s="707" t="str">
        <f t="shared" si="149"/>
        <v>código 186 (No remun)</v>
      </c>
      <c r="O399" s="708">
        <f t="shared" si="149"/>
        <v>0</v>
      </c>
      <c r="P399" s="286"/>
      <c r="Q399" s="121"/>
      <c r="R399" s="121"/>
      <c r="S399" s="121"/>
      <c r="T399" s="121"/>
      <c r="U399" s="121"/>
      <c r="V399" s="121"/>
    </row>
    <row r="400" spans="1:22" ht="15.75">
      <c r="A400" s="121"/>
      <c r="B400" s="31"/>
      <c r="C400" s="31"/>
      <c r="D400" s="31"/>
      <c r="E400" s="709" t="str">
        <f t="shared" ref="E400:F400" si="152">E454</f>
        <v>Líquido</v>
      </c>
      <c r="F400" s="710">
        <f t="shared" si="152"/>
        <v>932589.96892282157</v>
      </c>
      <c r="G400" s="286"/>
      <c r="H400" s="709" t="str">
        <f t="shared" si="147"/>
        <v>Líquido</v>
      </c>
      <c r="I400" s="710">
        <f t="shared" si="147"/>
        <v>906095.64458526368</v>
      </c>
      <c r="J400" s="286"/>
      <c r="K400" s="709" t="str">
        <f t="shared" si="148"/>
        <v>Líquido</v>
      </c>
      <c r="L400" s="710">
        <f t="shared" si="148"/>
        <v>876230.7206992323</v>
      </c>
      <c r="M400" s="286"/>
      <c r="N400" s="709" t="str">
        <f t="shared" si="149"/>
        <v>Líquido</v>
      </c>
      <c r="O400" s="710">
        <f t="shared" si="149"/>
        <v>876230.7206992323</v>
      </c>
      <c r="P400" s="286"/>
      <c r="Q400" s="121"/>
      <c r="R400" s="121"/>
      <c r="S400" s="121"/>
      <c r="T400" s="121"/>
      <c r="U400" s="121"/>
      <c r="V400" s="121"/>
    </row>
    <row r="401" spans="1:22" ht="15.75">
      <c r="A401" s="121"/>
      <c r="B401" s="31"/>
      <c r="C401" s="31"/>
      <c r="D401" s="31"/>
      <c r="E401" s="707" t="str">
        <f t="shared" ref="E401" si="153">E455</f>
        <v>Descuentos con aguinaldo</v>
      </c>
      <c r="F401" s="708"/>
      <c r="G401" s="286"/>
      <c r="H401" s="707" t="str">
        <f t="shared" si="147"/>
        <v>Descuentos con aguinaldo</v>
      </c>
      <c r="I401" s="708"/>
      <c r="J401" s="286"/>
      <c r="K401" s="707" t="str">
        <f t="shared" si="148"/>
        <v>Descuentos con aguinaldo</v>
      </c>
      <c r="L401" s="708"/>
      <c r="M401" s="286"/>
      <c r="N401" s="707" t="str">
        <f t="shared" si="149"/>
        <v>Descuentos con aguinaldo</v>
      </c>
      <c r="O401" s="708"/>
      <c r="P401" s="286"/>
      <c r="Q401" s="121"/>
      <c r="R401" s="121"/>
      <c r="S401" s="121"/>
      <c r="T401" s="121"/>
      <c r="U401" s="121"/>
      <c r="V401" s="121"/>
    </row>
    <row r="402" spans="1:22" ht="15.75">
      <c r="A402" s="121"/>
      <c r="B402" s="31"/>
      <c r="C402" s="31"/>
      <c r="D402" s="31"/>
      <c r="E402" s="709">
        <f t="shared" ref="E402:F402" si="154">E456</f>
        <v>502</v>
      </c>
      <c r="F402" s="710">
        <f t="shared" si="154"/>
        <v>-681508.05421283119</v>
      </c>
      <c r="G402" s="286"/>
      <c r="H402" s="709">
        <f t="shared" si="147"/>
        <v>502</v>
      </c>
      <c r="I402" s="710">
        <f t="shared" si="147"/>
        <v>-662146.81719692342</v>
      </c>
      <c r="J402" s="286"/>
      <c r="K402" s="709">
        <f t="shared" si="148"/>
        <v>502</v>
      </c>
      <c r="L402" s="710">
        <f t="shared" si="148"/>
        <v>-640322.44974174665</v>
      </c>
      <c r="M402" s="286"/>
      <c r="N402" s="709">
        <f t="shared" si="149"/>
        <v>502</v>
      </c>
      <c r="O402" s="710">
        <f t="shared" si="149"/>
        <v>-640322.44974174665</v>
      </c>
      <c r="P402" s="286"/>
      <c r="Q402" s="121"/>
      <c r="R402" s="121"/>
      <c r="S402" s="121"/>
      <c r="T402" s="121"/>
      <c r="U402" s="121"/>
      <c r="V402" s="121"/>
    </row>
    <row r="403" spans="1:22" ht="15.75">
      <c r="A403" s="121"/>
      <c r="B403" s="31"/>
      <c r="C403" s="31"/>
      <c r="D403" s="31"/>
      <c r="E403" s="709">
        <f t="shared" ref="E403:F403" si="155">E457</f>
        <v>505</v>
      </c>
      <c r="F403" s="710">
        <f t="shared" si="155"/>
        <v>-107606.53487571017</v>
      </c>
      <c r="G403" s="286"/>
      <c r="H403" s="709">
        <f t="shared" si="147"/>
        <v>505</v>
      </c>
      <c r="I403" s="710">
        <f t="shared" si="147"/>
        <v>-104549.49745214579</v>
      </c>
      <c r="J403" s="286"/>
      <c r="K403" s="709">
        <f t="shared" si="148"/>
        <v>505</v>
      </c>
      <c r="L403" s="710">
        <f t="shared" si="148"/>
        <v>-101103.54469606525</v>
      </c>
      <c r="M403" s="286"/>
      <c r="N403" s="709">
        <f t="shared" si="149"/>
        <v>505</v>
      </c>
      <c r="O403" s="710">
        <f t="shared" si="149"/>
        <v>-101103.54469606525</v>
      </c>
      <c r="P403" s="286"/>
      <c r="Q403" s="121"/>
      <c r="R403" s="121"/>
      <c r="S403" s="121"/>
      <c r="T403" s="121"/>
      <c r="U403" s="121"/>
      <c r="V403" s="121"/>
    </row>
    <row r="404" spans="1:22" ht="15.75">
      <c r="A404" s="121"/>
      <c r="B404" s="31"/>
      <c r="C404" s="31"/>
      <c r="D404" s="31"/>
      <c r="E404" s="707"/>
      <c r="F404" s="708"/>
      <c r="G404" s="286"/>
      <c r="H404" s="707"/>
      <c r="I404" s="708"/>
      <c r="J404" s="286"/>
      <c r="K404" s="707"/>
      <c r="L404" s="708"/>
      <c r="M404" s="286"/>
      <c r="N404" s="707"/>
      <c r="O404" s="708"/>
      <c r="P404" s="286"/>
      <c r="Q404" s="121"/>
      <c r="R404" s="121"/>
      <c r="S404" s="121"/>
      <c r="T404" s="121"/>
      <c r="U404" s="121"/>
      <c r="V404" s="121"/>
    </row>
    <row r="405" spans="1:22" ht="15.75">
      <c r="A405" s="121"/>
      <c r="B405" s="31"/>
      <c r="C405" s="31"/>
      <c r="D405" s="31"/>
      <c r="E405" s="709" t="str">
        <f>E459</f>
        <v>Sueldo líquido incluyendo aguinaldo</v>
      </c>
      <c r="F405" s="710"/>
      <c r="G405" s="286"/>
      <c r="H405" s="709" t="str">
        <f>H459</f>
        <v>Sueldo líquido incluyendo aguinaldo</v>
      </c>
      <c r="I405" s="710"/>
      <c r="J405" s="286"/>
      <c r="K405" s="709" t="str">
        <f>K459</f>
        <v>Sueldo líquido incluyendo aguinaldo</v>
      </c>
      <c r="L405" s="710"/>
      <c r="M405" s="286"/>
      <c r="N405" s="709" t="str">
        <f>N459</f>
        <v>Sueldo líquido incluyendo aguinaldo</v>
      </c>
      <c r="O405" s="710"/>
      <c r="P405" s="286"/>
      <c r="Q405" s="121"/>
      <c r="R405" s="121"/>
      <c r="S405" s="121"/>
      <c r="T405" s="121"/>
      <c r="U405" s="121"/>
      <c r="V405" s="121"/>
    </row>
    <row r="406" spans="1:22" ht="15.75">
      <c r="A406" s="121"/>
      <c r="B406" s="31"/>
      <c r="C406" s="31"/>
      <c r="D406" s="31"/>
      <c r="E406" s="707"/>
      <c r="F406" s="711">
        <f t="shared" ref="F406" si="156">F460</f>
        <v>3036205.9067684649</v>
      </c>
      <c r="G406" s="286"/>
      <c r="H406" s="707"/>
      <c r="I406" s="711">
        <f t="shared" ref="I406" si="157">I460</f>
        <v>2906698.9337557908</v>
      </c>
      <c r="J406" s="286"/>
      <c r="K406" s="707"/>
      <c r="L406" s="711">
        <f t="shared" ref="L406" si="158">L460</f>
        <v>2817104.1620976967</v>
      </c>
      <c r="M406" s="286"/>
      <c r="N406" s="707"/>
      <c r="O406" s="711">
        <f t="shared" ref="O406" si="159">O460</f>
        <v>2757104.1620976967</v>
      </c>
      <c r="P406" s="286"/>
      <c r="Q406" s="121"/>
      <c r="R406" s="121"/>
      <c r="S406" s="121"/>
      <c r="T406" s="121"/>
      <c r="U406" s="121"/>
      <c r="V406" s="121"/>
    </row>
    <row r="407" spans="1:22" ht="15.75">
      <c r="A407" s="121"/>
      <c r="B407" s="31"/>
      <c r="C407" s="31"/>
      <c r="D407" s="31"/>
      <c r="E407" s="712" t="str">
        <f>E461</f>
        <v>Aguinaldo de bolsillo</v>
      </c>
      <c r="F407" s="713"/>
      <c r="G407" s="714"/>
      <c r="H407" s="712" t="str">
        <f>H461</f>
        <v>Aguinaldo de bolsillo</v>
      </c>
      <c r="I407" s="713"/>
      <c r="J407" s="714"/>
      <c r="K407" s="712" t="str">
        <f>K461</f>
        <v>Aguinaldo de bolsillo</v>
      </c>
      <c r="L407" s="713"/>
      <c r="M407" s="714"/>
      <c r="N407" s="712" t="str">
        <f>N461</f>
        <v>Aguinaldo de bolsillo</v>
      </c>
      <c r="O407" s="713"/>
      <c r="P407" s="714"/>
      <c r="Q407" s="121"/>
      <c r="R407" s="121"/>
      <c r="S407" s="121"/>
      <c r="T407" s="121"/>
      <c r="U407" s="121"/>
      <c r="V407" s="121"/>
    </row>
    <row r="408" spans="1:22" ht="16.5" thickBot="1">
      <c r="A408" s="121"/>
      <c r="B408" s="31"/>
      <c r="C408" s="31"/>
      <c r="D408" s="31"/>
      <c r="E408" s="715"/>
      <c r="F408" s="716">
        <f>F462</f>
        <v>932589.96892282227</v>
      </c>
      <c r="G408" s="286"/>
      <c r="H408" s="715"/>
      <c r="I408" s="716">
        <f>I462</f>
        <v>906095.64458526345</v>
      </c>
      <c r="J408" s="286"/>
      <c r="K408" s="715"/>
      <c r="L408" s="716">
        <f>L462</f>
        <v>876230.72069923207</v>
      </c>
      <c r="M408" s="286"/>
      <c r="N408" s="715"/>
      <c r="O408" s="716">
        <f>O462</f>
        <v>876230.72069923207</v>
      </c>
      <c r="P408" s="286"/>
      <c r="Q408" s="121"/>
      <c r="R408" s="121"/>
      <c r="S408" s="121"/>
      <c r="T408" s="121"/>
      <c r="U408" s="121"/>
      <c r="V408" s="121"/>
    </row>
    <row r="409" spans="1:22" ht="18.75" thickTop="1">
      <c r="A409" s="121"/>
      <c r="B409" s="31"/>
      <c r="C409" s="31"/>
      <c r="D409" s="31"/>
      <c r="E409" s="717"/>
      <c r="F409" s="717"/>
      <c r="G409" s="286"/>
      <c r="H409" s="717"/>
      <c r="I409" s="717"/>
      <c r="J409" s="286"/>
      <c r="K409" s="717"/>
      <c r="L409" s="717"/>
      <c r="M409" s="286"/>
      <c r="N409" s="22"/>
      <c r="O409" s="717"/>
      <c r="P409" s="286"/>
      <c r="Q409" s="121"/>
      <c r="R409" s="121"/>
      <c r="S409" s="121"/>
      <c r="T409" s="121"/>
      <c r="U409" s="121"/>
      <c r="V409" s="121"/>
    </row>
    <row r="410" spans="1:22" ht="20.25" hidden="1">
      <c r="A410" s="121"/>
      <c r="B410" s="121"/>
      <c r="C410" s="530"/>
      <c r="D410" s="718"/>
      <c r="E410" s="812">
        <v>46204</v>
      </c>
      <c r="F410" s="813">
        <f>Aumentojulio26</f>
        <v>6.6049999999999942E-2</v>
      </c>
      <c r="G410" s="814"/>
      <c r="H410" s="812">
        <v>46143</v>
      </c>
      <c r="I410" s="813">
        <v>3.5000000000000003E-2</v>
      </c>
      <c r="J410" s="814"/>
      <c r="K410" s="812">
        <v>46054</v>
      </c>
      <c r="L410" s="813">
        <v>0</v>
      </c>
      <c r="M410" s="814"/>
      <c r="N410" s="812">
        <v>45992</v>
      </c>
      <c r="O410" s="719"/>
      <c r="P410" s="21"/>
      <c r="Q410" s="121"/>
      <c r="R410" s="121"/>
      <c r="S410" s="121"/>
      <c r="T410" s="121"/>
      <c r="U410" s="121"/>
      <c r="V410" s="121"/>
    </row>
    <row r="411" spans="1:22" ht="16.5" hidden="1" thickBot="1">
      <c r="A411" s="121"/>
      <c r="B411" s="635"/>
      <c r="C411" s="636"/>
      <c r="D411" s="637"/>
      <c r="E411" s="720"/>
      <c r="F411" s="720"/>
      <c r="G411" s="637"/>
      <c r="H411" s="720"/>
      <c r="I411" s="720"/>
      <c r="J411" s="637"/>
      <c r="K411" s="720"/>
      <c r="L411" s="720"/>
      <c r="M411" s="637"/>
      <c r="N411" s="720"/>
      <c r="O411" s="720"/>
      <c r="P411" s="637"/>
      <c r="Q411" s="121"/>
      <c r="R411" s="121"/>
      <c r="S411" s="121"/>
      <c r="T411" s="121"/>
      <c r="U411" s="121"/>
      <c r="V411" s="121"/>
    </row>
    <row r="412" spans="1:22" ht="15.75" hidden="1" thickBot="1">
      <c r="A412" s="31"/>
      <c r="B412" s="721" t="s">
        <v>465</v>
      </c>
      <c r="C412" s="721" t="s">
        <v>466</v>
      </c>
      <c r="D412" s="721" t="s">
        <v>467</v>
      </c>
      <c r="E412" s="722" t="s">
        <v>468</v>
      </c>
      <c r="F412" s="722" t="s">
        <v>469</v>
      </c>
      <c r="G412" s="723"/>
      <c r="H412" s="722" t="s">
        <v>468</v>
      </c>
      <c r="I412" s="722" t="s">
        <v>469</v>
      </c>
      <c r="J412" s="723"/>
      <c r="K412" s="722" t="s">
        <v>468</v>
      </c>
      <c r="L412" s="722" t="s">
        <v>469</v>
      </c>
      <c r="M412" s="723"/>
      <c r="N412" s="722" t="s">
        <v>468</v>
      </c>
      <c r="O412" s="722" t="s">
        <v>469</v>
      </c>
      <c r="P412" s="723"/>
      <c r="Q412" s="31"/>
      <c r="R412" s="31"/>
      <c r="S412" s="31"/>
      <c r="T412" s="31"/>
      <c r="U412" s="31"/>
      <c r="V412" s="31"/>
    </row>
    <row r="413" spans="1:22" ht="15.75" hidden="1" thickBot="1">
      <c r="A413" s="31"/>
      <c r="B413" s="724">
        <v>4</v>
      </c>
      <c r="C413" s="725">
        <f>canthorsup</f>
        <v>36</v>
      </c>
      <c r="D413" s="569" t="s">
        <v>527</v>
      </c>
      <c r="E413" s="726">
        <f>indicejul26*punbashorsup</f>
        <v>880540.93733759993</v>
      </c>
      <c r="F413" s="727"/>
      <c r="G413" s="728"/>
      <c r="H413" s="726">
        <f>indicemay26*punbashorsup</f>
        <v>854894.11392000003</v>
      </c>
      <c r="I413" s="727"/>
      <c r="J413" s="728"/>
      <c r="K413" s="726">
        <f>indicedic25*punbashorsup</f>
        <v>825984.49204517377</v>
      </c>
      <c r="L413" s="727"/>
      <c r="M413" s="728"/>
      <c r="N413" s="726">
        <f>indicedic25*punbashorsup</f>
        <v>825984.49204517377</v>
      </c>
      <c r="O413" s="727"/>
      <c r="P413" s="728"/>
      <c r="Q413" s="31"/>
      <c r="R413" s="31"/>
      <c r="S413" s="31"/>
      <c r="T413" s="31"/>
      <c r="U413" s="31"/>
      <c r="V413" s="31"/>
    </row>
    <row r="414" spans="1:22" ht="15.75" hidden="1" thickBot="1">
      <c r="A414" s="31"/>
      <c r="B414" s="729">
        <v>10</v>
      </c>
      <c r="C414" s="730">
        <f>porantighorsup</f>
        <v>1.2</v>
      </c>
      <c r="D414" s="568" t="s">
        <v>477</v>
      </c>
      <c r="E414" s="731">
        <f>(E413+E421)*porantighorsup</f>
        <v>1086649.1248051198</v>
      </c>
      <c r="F414" s="482"/>
      <c r="G414" s="732"/>
      <c r="H414" s="731">
        <f>(H413+H421)*porantighorsup</f>
        <v>1055872.936704</v>
      </c>
      <c r="I414" s="482"/>
      <c r="J414" s="732"/>
      <c r="K414" s="731">
        <f>(K413+K421)*porantighorsup</f>
        <v>1021181.3904542085</v>
      </c>
      <c r="L414" s="482"/>
      <c r="M414" s="732"/>
      <c r="N414" s="731">
        <f>(N413+N421)*porantighorsup</f>
        <v>1021181.3904542085</v>
      </c>
      <c r="O414" s="482"/>
      <c r="P414" s="732"/>
      <c r="Q414" s="31"/>
      <c r="R414" s="31"/>
      <c r="S414" s="31"/>
      <c r="T414" s="31"/>
      <c r="U414" s="31"/>
      <c r="V414" s="31"/>
    </row>
    <row r="415" spans="1:22" ht="16.5" hidden="1" thickBot="1">
      <c r="A415" s="31"/>
      <c r="B415" s="724">
        <v>6</v>
      </c>
      <c r="C415" s="733">
        <f>IF(porantighorsup&lt;100%,K415/4241.88,K415/4271.53)</f>
        <v>17</v>
      </c>
      <c r="D415" s="569" t="s">
        <v>476</v>
      </c>
      <c r="E415" s="726">
        <f>IF(porantighorsup&lt;100%,IF(canthor06sup&gt;17,17*4241.88,4241.88*canthor06sup),IF(canthor06sup&gt;17,17*4271.53,4271.53*canthor06sup))*(1+Aumentojulio26)</f>
        <v>77412.297460499991</v>
      </c>
      <c r="F415" s="482"/>
      <c r="G415" s="728"/>
      <c r="H415" s="726">
        <f>IF(porantighorsup&lt;100%,IF(canthor06sup&gt;17,17*4241.88,4241.88*canthor06sup),IF(canthor06sup&gt;17,17*4271.53,4271.53*canthor06sup))*(1+Aumentomayo26)</f>
        <v>75157.570349999995</v>
      </c>
      <c r="I415" s="482"/>
      <c r="J415" s="728"/>
      <c r="K415" s="726">
        <f>IF(porantighorsup&lt;100%,IF(canthor06sup&gt;17,17*4241.88,4241.88*canthor06sup),IF(canthor06sup&gt;17,17*4271.53,4271.53*canthor06sup))</f>
        <v>72616.009999999995</v>
      </c>
      <c r="L415" s="482"/>
      <c r="M415" s="728"/>
      <c r="N415" s="726">
        <f>IF(porantighorsup&lt;100%,IF(canthor06sup&gt;17,17*4241.88,4241.88*canthor06sup),IF(canthor06sup&gt;17,17*4271.53,4271.53*canthor06sup))</f>
        <v>72616.009999999995</v>
      </c>
      <c r="O415" s="482"/>
      <c r="P415" s="728"/>
      <c r="Q415" s="31"/>
      <c r="R415" s="31"/>
      <c r="S415" s="31"/>
      <c r="T415" s="31"/>
      <c r="U415" s="31"/>
      <c r="V415" s="31"/>
    </row>
    <row r="416" spans="1:22" ht="15.75" hidden="1" thickBot="1">
      <c r="A416" s="31"/>
      <c r="B416" s="729">
        <v>14</v>
      </c>
      <c r="C416" s="734">
        <v>7.0000000000000007E-2</v>
      </c>
      <c r="D416" s="568" t="s">
        <v>528</v>
      </c>
      <c r="E416" s="731">
        <f>E415*0.07</f>
        <v>5418.8608222349994</v>
      </c>
      <c r="F416" s="735"/>
      <c r="G416" s="732"/>
      <c r="H416" s="731">
        <f>H415*0.07</f>
        <v>5261.0299245000006</v>
      </c>
      <c r="I416" s="735"/>
      <c r="J416" s="732"/>
      <c r="K416" s="731">
        <f>K415*0.07</f>
        <v>5083.1207000000004</v>
      </c>
      <c r="L416" s="735"/>
      <c r="M416" s="732"/>
      <c r="N416" s="731">
        <f>N415*0.07</f>
        <v>5083.1207000000004</v>
      </c>
      <c r="O416" s="735"/>
      <c r="P416" s="732"/>
      <c r="Q416" s="31"/>
      <c r="R416" s="31"/>
      <c r="S416" s="31"/>
      <c r="T416" s="31"/>
      <c r="U416" s="31"/>
      <c r="V416" s="31"/>
    </row>
    <row r="417" spans="1:22" ht="15.75" hidden="1" thickBot="1">
      <c r="A417" s="31"/>
      <c r="B417" s="729">
        <v>188</v>
      </c>
      <c r="C417" s="734">
        <v>7.0000000000000007E-2</v>
      </c>
      <c r="D417" s="568" t="s">
        <v>479</v>
      </c>
      <c r="E417" s="731">
        <f>(E413+E414+E418+E420+E421)*0.07</f>
        <v>151018.46921514219</v>
      </c>
      <c r="F417" s="736"/>
      <c r="G417" s="732"/>
      <c r="H417" s="731">
        <f>(H413+H414+H418+H420+H421)*0.07</f>
        <v>146732.00894674001</v>
      </c>
      <c r="I417" s="736"/>
      <c r="J417" s="732"/>
      <c r="K417" s="731">
        <f>(K413+K414+K418+K420+K421)*0.07</f>
        <v>141900.22569095678</v>
      </c>
      <c r="L417" s="736"/>
      <c r="M417" s="732"/>
      <c r="N417" s="731">
        <f>(N413+N414+N418+N420+N421)*0.07</f>
        <v>141900.22569095678</v>
      </c>
      <c r="O417" s="736"/>
      <c r="P417" s="732"/>
      <c r="Q417" s="31"/>
      <c r="R417" s="31"/>
      <c r="S417" s="31"/>
      <c r="T417" s="31"/>
      <c r="U417" s="31"/>
      <c r="V417" s="31"/>
    </row>
    <row r="418" spans="1:22" ht="16.5" hidden="1" thickBot="1">
      <c r="A418" s="31"/>
      <c r="B418" s="724">
        <v>117</v>
      </c>
      <c r="C418" s="737"/>
      <c r="D418" s="569" t="s">
        <v>484</v>
      </c>
      <c r="E418" s="726">
        <f>IF(canthorsup*1141.5333&gt;43246,43246,canthorsup*1441.5333)*(1+Aumentojulio26)</f>
        <v>55322.876680739995</v>
      </c>
      <c r="F418" s="482"/>
      <c r="G418" s="728"/>
      <c r="H418" s="726">
        <f>IF(canthorsup*1141.5333&gt;43246,43246,canthorsup*1441.5333)*(1+Aumentomayo26)</f>
        <v>53711.530757999994</v>
      </c>
      <c r="I418" s="482"/>
      <c r="J418" s="728"/>
      <c r="K418" s="726">
        <f>IF(canthorsup*1141.5333&gt;43246,43246,canthorsup*1441.5333)</f>
        <v>51895.198799999998</v>
      </c>
      <c r="L418" s="482"/>
      <c r="M418" s="728"/>
      <c r="N418" s="726">
        <f>IF(canthorsup*1141.5333&gt;43246,43246,canthorsup*1441.5333)</f>
        <v>51895.198799999998</v>
      </c>
      <c r="O418" s="482"/>
      <c r="P418" s="728"/>
      <c r="Q418" s="31"/>
      <c r="R418" s="31"/>
      <c r="S418" s="31"/>
      <c r="T418" s="31"/>
      <c r="U418" s="31"/>
      <c r="V418" s="31"/>
    </row>
    <row r="419" spans="1:22" ht="15.75" hidden="1" thickBot="1">
      <c r="A419" s="31"/>
      <c r="B419" s="724">
        <v>29</v>
      </c>
      <c r="C419" s="738">
        <f>cantkmhs</f>
        <v>0</v>
      </c>
      <c r="D419" s="569" t="s">
        <v>486</v>
      </c>
      <c r="E419" s="726">
        <f>kmsemhssup*2128/15*4</f>
        <v>0</v>
      </c>
      <c r="F419" s="739">
        <f>81121/15</f>
        <v>5408.0666666666666</v>
      </c>
      <c r="G419" s="728"/>
      <c r="H419" s="726">
        <f>kmsemhssup*2128/15*4</f>
        <v>0</v>
      </c>
      <c r="I419" s="739">
        <f>81121/15</f>
        <v>5408.0666666666666</v>
      </c>
      <c r="J419" s="728"/>
      <c r="K419" s="726">
        <f>kmsemhssup*1820/15*4</f>
        <v>0</v>
      </c>
      <c r="L419" s="739">
        <f>81121/15</f>
        <v>5408.0666666666666</v>
      </c>
      <c r="M419" s="728"/>
      <c r="N419" s="726">
        <f>kmsemhssup*1820/15*4</f>
        <v>0</v>
      </c>
      <c r="O419" s="739">
        <f>81121/15</f>
        <v>5408.0666666666666</v>
      </c>
      <c r="P419" s="728"/>
      <c r="Q419" s="31"/>
      <c r="R419" s="31"/>
      <c r="S419" s="31"/>
      <c r="T419" s="31"/>
      <c r="U419" s="31"/>
      <c r="V419" s="31"/>
    </row>
    <row r="420" spans="1:22" ht="16.5" hidden="1" thickBot="1">
      <c r="A420" s="31"/>
      <c r="B420" s="740">
        <v>38</v>
      </c>
      <c r="C420" s="741">
        <f>C365</f>
        <v>15</v>
      </c>
      <c r="D420" s="742" t="s">
        <v>531</v>
      </c>
      <c r="E420" s="743">
        <f>IF($C420="",IF(canthorsup&lt;15,6872.3333*canthorsup,103085),IF($C420&lt;15,6872.3333*$C420,103085))*(1+Aumentojulio26)</f>
        <v>109893.76424999999</v>
      </c>
      <c r="F420" s="744"/>
      <c r="G420" s="745"/>
      <c r="H420" s="743">
        <f>IF($C420="",IF(canthorsup&lt;15,6872.3333*canthorsup,103085),IF($C420&lt;15,6872.3333*$C420,103085))*(1+Aumentomayo26)</f>
        <v>106692.97499999999</v>
      </c>
      <c r="I420" s="744"/>
      <c r="J420" s="745"/>
      <c r="K420" s="743">
        <f>IF($C420="",IF(canthorsup&lt;15,6872.3333*canthorsup,103085),IF($C420&lt;15,6872.3333*$C420,103085))</f>
        <v>103085</v>
      </c>
      <c r="L420" s="744"/>
      <c r="M420" s="745"/>
      <c r="N420" s="743">
        <f>IF($C420="",IF(canthorsup&lt;15,6872.3333*canthorsup,103085),IF($C420&lt;15,6872.3333*$C420,103085))</f>
        <v>103085</v>
      </c>
      <c r="O420" s="744"/>
      <c r="P420" s="745"/>
      <c r="Q420" s="31"/>
      <c r="R420" s="31"/>
      <c r="S420" s="31"/>
      <c r="T420" s="31"/>
      <c r="U420" s="31"/>
      <c r="V420" s="31"/>
    </row>
    <row r="421" spans="1:22" ht="15.75" hidden="1" thickBot="1">
      <c r="A421" s="31"/>
      <c r="B421" s="362">
        <v>25</v>
      </c>
      <c r="C421" s="256">
        <f>C366</f>
        <v>1</v>
      </c>
      <c r="D421" s="363" t="s">
        <v>485</v>
      </c>
      <c r="E421" s="746">
        <f>IF(AND(porantighorsup&gt;=0.5,$C421=1),IF(canthorsup&gt;15,25000,1666.6666*canthorsup),0)</f>
        <v>25000</v>
      </c>
      <c r="F421" s="747"/>
      <c r="G421" s="745"/>
      <c r="H421" s="746">
        <f>IF(AND(porantighorsup&gt;=0.5,$C421=1),IF(canthorsup&gt;15,25000,1666.6666*canthorsup),0)</f>
        <v>25000</v>
      </c>
      <c r="I421" s="747"/>
      <c r="J421" s="745"/>
      <c r="K421" s="746">
        <f>IF(AND(porantighorsup&gt;=0.5,$C421=1),IF(canthorsup&gt;15,25000,1666.6666*canthorsup),0)</f>
        <v>25000</v>
      </c>
      <c r="L421" s="747"/>
      <c r="M421" s="745"/>
      <c r="N421" s="746">
        <f>IF(AND(porantighorsup&gt;=0.5,$C421=1),IF(canthorsup&gt;15,25000,1666.6666*canthorsup),0)</f>
        <v>25000</v>
      </c>
      <c r="O421" s="747"/>
      <c r="P421" s="745"/>
      <c r="Q421" s="31"/>
      <c r="R421" s="31"/>
      <c r="S421" s="31"/>
      <c r="T421" s="31"/>
      <c r="U421" s="31"/>
      <c r="V421" s="31"/>
    </row>
    <row r="422" spans="1:22" ht="16.5" hidden="1" thickBot="1">
      <c r="A422" s="31"/>
      <c r="B422" s="740"/>
      <c r="C422" s="748"/>
      <c r="D422" s="749" t="s">
        <v>539</v>
      </c>
      <c r="E422" s="750">
        <f>SUM(E413:E421)</f>
        <v>2391256.3305713371</v>
      </c>
      <c r="F422" s="751"/>
      <c r="G422" s="752"/>
      <c r="H422" s="750">
        <f>SUM(H413:H421)</f>
        <v>2323322.16560324</v>
      </c>
      <c r="I422" s="751"/>
      <c r="J422" s="752"/>
      <c r="K422" s="750">
        <f>SUM(K413:K421)</f>
        <v>2246745.4376903391</v>
      </c>
      <c r="L422" s="751"/>
      <c r="M422" s="752"/>
      <c r="N422" s="750">
        <f>SUM(N413:N421)</f>
        <v>2246745.4376903391</v>
      </c>
      <c r="O422" s="751"/>
      <c r="P422" s="752"/>
      <c r="Q422" s="31"/>
      <c r="R422" s="31"/>
      <c r="S422" s="31"/>
      <c r="T422" s="31"/>
      <c r="U422" s="31"/>
      <c r="V422" s="31"/>
    </row>
    <row r="423" spans="1:22" ht="16.5" hidden="1" thickBot="1">
      <c r="A423" s="31"/>
      <c r="B423" s="753" t="s">
        <v>533</v>
      </c>
      <c r="C423" s="568"/>
      <c r="D423" s="568"/>
      <c r="E423" s="754">
        <f>E368</f>
        <v>0</v>
      </c>
      <c r="F423" s="735"/>
      <c r="G423" s="732"/>
      <c r="H423" s="754">
        <f>H368</f>
        <v>0</v>
      </c>
      <c r="I423" s="735"/>
      <c r="J423" s="732"/>
      <c r="K423" s="754">
        <f>K368</f>
        <v>0</v>
      </c>
      <c r="L423" s="735"/>
      <c r="M423" s="732"/>
      <c r="N423" s="754">
        <f>N368</f>
        <v>0</v>
      </c>
      <c r="O423" s="735"/>
      <c r="P423" s="732"/>
      <c r="Q423" s="31"/>
      <c r="R423" s="31"/>
      <c r="S423" s="31"/>
      <c r="T423" s="31"/>
      <c r="U423" s="31"/>
      <c r="V423" s="31"/>
    </row>
    <row r="424" spans="1:22" ht="15.75" hidden="1" thickBot="1">
      <c r="A424" s="31"/>
      <c r="B424" s="753"/>
      <c r="C424" s="568"/>
      <c r="D424" s="569"/>
      <c r="E424" s="755"/>
      <c r="F424" s="735"/>
      <c r="G424" s="728"/>
      <c r="H424" s="755"/>
      <c r="I424" s="735"/>
      <c r="J424" s="728"/>
      <c r="K424" s="755"/>
      <c r="L424" s="735"/>
      <c r="M424" s="728"/>
      <c r="N424" s="755"/>
      <c r="O424" s="735"/>
      <c r="P424" s="728"/>
      <c r="Q424" s="31"/>
      <c r="R424" s="31"/>
      <c r="S424" s="31"/>
      <c r="T424" s="31"/>
      <c r="U424" s="31"/>
      <c r="V424" s="31"/>
    </row>
    <row r="425" spans="1:22" ht="16.5" hidden="1" thickBot="1">
      <c r="A425" s="31"/>
      <c r="B425" s="724">
        <v>184</v>
      </c>
      <c r="C425" s="733">
        <f>H425/3062.7</f>
        <v>23.999999999999996</v>
      </c>
      <c r="D425" s="569" t="s">
        <v>490</v>
      </c>
      <c r="E425" s="726">
        <f>IF(canthorincsup*4255.83&gt;102139,102139,canthorincsup*4255.83)</f>
        <v>102139</v>
      </c>
      <c r="F425" s="643"/>
      <c r="G425" s="728"/>
      <c r="H425" s="726">
        <f>IF(canthorincsup*3062.7&gt;73504.8,73504.8,canthorincsup*3062.7)</f>
        <v>73504.799999999988</v>
      </c>
      <c r="I425" s="643"/>
      <c r="J425" s="728"/>
      <c r="K425" s="726">
        <f>IF(canthorincsup*3062.7&gt;73504.8,73504.8,canthorincsup*3062.7)</f>
        <v>73504.799999999988</v>
      </c>
      <c r="L425" s="643"/>
      <c r="M425" s="728"/>
      <c r="N425" s="726">
        <f>IF(canthorincsup*3062.7&gt;73504.8,73504.8,canthorincsup*3062.7)</f>
        <v>73504.799999999988</v>
      </c>
      <c r="O425" s="643"/>
      <c r="P425" s="728"/>
      <c r="Q425" s="31"/>
      <c r="R425" s="31"/>
      <c r="S425" s="31"/>
      <c r="T425" s="31"/>
      <c r="U425" s="31"/>
      <c r="V425" s="31"/>
    </row>
    <row r="426" spans="1:22" ht="16.5" hidden="1" thickBot="1">
      <c r="A426" s="31"/>
      <c r="B426" s="729">
        <v>204</v>
      </c>
      <c r="C426" s="756">
        <f>H426/2287.8</f>
        <v>24</v>
      </c>
      <c r="D426" s="569" t="s">
        <v>491</v>
      </c>
      <c r="E426" s="731">
        <f>IF(canthorincsup*3179.08&gt;76297,76297,canthorincsup*3179.08)</f>
        <v>76297</v>
      </c>
      <c r="F426" s="735"/>
      <c r="G426" s="728"/>
      <c r="H426" s="731">
        <f>IF(canthorincsup*2287.8&gt;54907.2,54907.2,canthorincsup*2287.8)</f>
        <v>54907.200000000004</v>
      </c>
      <c r="I426" s="735"/>
      <c r="J426" s="728"/>
      <c r="K426" s="731">
        <f>IF(canthorincsup*2287.8&gt;54907.2,54907.2,canthorincsup*2287.8)</f>
        <v>54907.200000000004</v>
      </c>
      <c r="L426" s="735"/>
      <c r="M426" s="728"/>
      <c r="N426" s="731">
        <f>IF(canthorincsup*2287.8&gt;54907.2,54907.2,canthorincsup*2287.8)</f>
        <v>54907.200000000004</v>
      </c>
      <c r="O426" s="735"/>
      <c r="P426" s="728"/>
      <c r="Q426" s="31"/>
      <c r="R426" s="31"/>
      <c r="S426" s="31"/>
      <c r="T426" s="31"/>
      <c r="U426" s="31"/>
      <c r="V426" s="31"/>
    </row>
    <row r="427" spans="1:22" ht="16.5" hidden="1" thickBot="1">
      <c r="A427" s="31"/>
      <c r="B427" s="852">
        <v>234</v>
      </c>
      <c r="C427" s="756">
        <f>H427/2400</f>
        <v>15</v>
      </c>
      <c r="D427" s="853" t="s">
        <v>551</v>
      </c>
      <c r="E427" s="726">
        <f>IF(canthorincsup*2400&gt;36000,36000,canthorincsup*2400)</f>
        <v>36000</v>
      </c>
      <c r="F427" s="735"/>
      <c r="G427" s="728"/>
      <c r="H427" s="726">
        <f>IF(canthorincsup*2400&gt;36000,36000,canthorincsup*2400)</f>
        <v>36000</v>
      </c>
      <c r="I427" s="735"/>
      <c r="J427" s="728"/>
      <c r="K427" s="726">
        <f>IF(canthorincsup*2400&gt;36000,36000,canthorincsup*2400)</f>
        <v>36000</v>
      </c>
      <c r="L427" s="735"/>
      <c r="M427" s="728"/>
      <c r="N427" s="854"/>
      <c r="O427" s="735"/>
      <c r="P427" s="728"/>
      <c r="Q427" s="31"/>
      <c r="R427" s="31"/>
      <c r="S427" s="31"/>
      <c r="T427" s="31"/>
      <c r="U427" s="31"/>
      <c r="V427" s="31"/>
    </row>
    <row r="428" spans="1:22" ht="16.5" hidden="1" thickBot="1">
      <c r="A428" s="31"/>
      <c r="B428" s="852">
        <v>244</v>
      </c>
      <c r="C428" s="756">
        <f>H428/1600</f>
        <v>15</v>
      </c>
      <c r="D428" s="757" t="s">
        <v>552</v>
      </c>
      <c r="E428" s="758">
        <f>IF(canthorsup*1600&gt;24000,24000,canthorsup*1600)</f>
        <v>24000</v>
      </c>
      <c r="F428" s="735"/>
      <c r="G428" s="732"/>
      <c r="H428" s="758">
        <f>IF(canthorsup*1600&gt;24000,24000,canthorsup*1600)</f>
        <v>24000</v>
      </c>
      <c r="I428" s="735"/>
      <c r="J428" s="732"/>
      <c r="K428" s="758">
        <f>IF(canthorsup*1600&gt;24000,24000,canthorsup*1600)</f>
        <v>24000</v>
      </c>
      <c r="L428" s="735"/>
      <c r="M428" s="732"/>
      <c r="N428" s="758"/>
      <c r="O428" s="735"/>
      <c r="P428" s="732"/>
      <c r="Q428" s="31"/>
      <c r="R428" s="31"/>
      <c r="S428" s="31"/>
      <c r="T428" s="31"/>
      <c r="U428" s="31"/>
      <c r="V428" s="31"/>
    </row>
    <row r="429" spans="1:22" ht="16.5" hidden="1" thickBot="1">
      <c r="A429" s="31"/>
      <c r="B429" s="724"/>
      <c r="C429" s="759"/>
      <c r="D429" s="737" t="s">
        <v>534</v>
      </c>
      <c r="E429" s="760">
        <f>SUM(E422:E428)</f>
        <v>2629692.3305713371</v>
      </c>
      <c r="F429" s="727"/>
      <c r="G429" s="761"/>
      <c r="H429" s="760">
        <f>SUM(H422:H428)</f>
        <v>2511734.16560324</v>
      </c>
      <c r="I429" s="727"/>
      <c r="J429" s="761"/>
      <c r="K429" s="760">
        <f>SUM(K422:K428)</f>
        <v>2435157.4376903391</v>
      </c>
      <c r="L429" s="727"/>
      <c r="M429" s="761"/>
      <c r="N429" s="760">
        <f>SUM(N422:N428)</f>
        <v>2375157.4376903391</v>
      </c>
      <c r="O429" s="727"/>
      <c r="P429" s="761"/>
      <c r="Q429" s="31"/>
      <c r="R429" s="31"/>
      <c r="S429" s="31"/>
      <c r="T429" s="31"/>
      <c r="U429" s="31"/>
      <c r="V429" s="31"/>
    </row>
    <row r="430" spans="1:22" ht="16.5" hidden="1" thickBot="1">
      <c r="A430" s="31"/>
      <c r="B430" s="729">
        <v>440</v>
      </c>
      <c r="C430" s="762"/>
      <c r="D430" s="568" t="s">
        <v>493</v>
      </c>
      <c r="E430" s="754">
        <f>E375</f>
        <v>0</v>
      </c>
      <c r="F430" s="763">
        <f>-E430</f>
        <v>0</v>
      </c>
      <c r="G430" s="732"/>
      <c r="H430" s="754">
        <f>H375</f>
        <v>0</v>
      </c>
      <c r="I430" s="763">
        <f>-H430</f>
        <v>0</v>
      </c>
      <c r="J430" s="732"/>
      <c r="K430" s="754">
        <f>K375</f>
        <v>0</v>
      </c>
      <c r="L430" s="763">
        <f>-K430</f>
        <v>0</v>
      </c>
      <c r="M430" s="732"/>
      <c r="N430" s="754">
        <f>N375</f>
        <v>0</v>
      </c>
      <c r="O430" s="763">
        <f>-N430</f>
        <v>0</v>
      </c>
      <c r="P430" s="732"/>
      <c r="Q430" s="31"/>
      <c r="R430" s="31"/>
      <c r="S430" s="31"/>
      <c r="T430" s="31"/>
      <c r="U430" s="31"/>
      <c r="V430" s="31"/>
    </row>
    <row r="431" spans="1:22" ht="15.75" hidden="1" thickBot="1">
      <c r="A431" s="31"/>
      <c r="B431" s="724">
        <v>502</v>
      </c>
      <c r="C431" s="764">
        <v>0.16</v>
      </c>
      <c r="D431" s="765" t="s">
        <v>535</v>
      </c>
      <c r="E431" s="726"/>
      <c r="F431" s="766">
        <f>-(E413+E414+E417+E415+E416+F430+E418+E420+E421)*0.19</f>
        <v>-454338.70280855405</v>
      </c>
      <c r="G431" s="767"/>
      <c r="H431" s="726"/>
      <c r="I431" s="766">
        <f>-(H413+H414+H417+H415+H416+I430+H418+H420+H421)*0.19</f>
        <v>-441431.2114646156</v>
      </c>
      <c r="J431" s="767"/>
      <c r="K431" s="726"/>
      <c r="L431" s="766">
        <f>-(K413+K414+K417+K415+K416+L430+K418+K420+K421)*0.19</f>
        <v>-426881.63316116441</v>
      </c>
      <c r="M431" s="767"/>
      <c r="N431" s="726"/>
      <c r="O431" s="766">
        <f>-(N413+N414+N417+N415+N416+O430+N418+N420+N421)*0.19</f>
        <v>-426881.63316116441</v>
      </c>
      <c r="P431" s="767"/>
      <c r="Q431" s="31"/>
      <c r="R431" s="31"/>
      <c r="S431" s="31"/>
      <c r="T431" s="31"/>
      <c r="U431" s="31"/>
      <c r="V431" s="31"/>
    </row>
    <row r="432" spans="1:22" ht="15.75" hidden="1" thickBot="1">
      <c r="A432" s="31"/>
      <c r="B432" s="724">
        <v>505</v>
      </c>
      <c r="C432" s="768">
        <v>0.03</v>
      </c>
      <c r="D432" s="765" t="s">
        <v>536</v>
      </c>
      <c r="E432" s="726"/>
      <c r="F432" s="766">
        <f>-(E413+E414+E417+E415+E416+F430+E418+E420+E421)*poros</f>
        <v>-71737.689917140116</v>
      </c>
      <c r="G432" s="767"/>
      <c r="H432" s="726"/>
      <c r="I432" s="766">
        <f>-(H413+H414+H417+H415+H416+I430+H418+H420+H421)*poros</f>
        <v>-69699.664968097204</v>
      </c>
      <c r="J432" s="767"/>
      <c r="K432" s="726"/>
      <c r="L432" s="766">
        <f>-(K413+K414+K417+K415+K416+L430+K418+K420+K421)*poros</f>
        <v>-67402.363130710175</v>
      </c>
      <c r="M432" s="767"/>
      <c r="N432" s="726"/>
      <c r="O432" s="766">
        <f>-(N413+N414+N417+N415+N416+O430+N418+N420+N421)*poros</f>
        <v>-67402.363130710175</v>
      </c>
      <c r="P432" s="767"/>
      <c r="Q432" s="31"/>
      <c r="R432" s="31"/>
      <c r="S432" s="31"/>
      <c r="T432" s="31"/>
      <c r="U432" s="31"/>
      <c r="V432" s="31"/>
    </row>
    <row r="433" spans="1:22" ht="16.5" hidden="1" thickBot="1">
      <c r="A433" s="31"/>
      <c r="B433" s="769">
        <v>332</v>
      </c>
      <c r="C433" s="770">
        <f t="shared" ref="C433:C434" si="160">C378</f>
        <v>0</v>
      </c>
      <c r="D433" s="771" t="s">
        <v>498</v>
      </c>
      <c r="E433" s="731"/>
      <c r="F433" s="763">
        <f>-(E413+E414+E417+E415+E416+F430+E418+E421)*poragmer-E425*poragmer</f>
        <v>0</v>
      </c>
      <c r="G433" s="772"/>
      <c r="H433" s="731"/>
      <c r="I433" s="763">
        <f>-(H413+H414+H417+H415+H416+I430+H418+H421)*poragmer-H425*poragmer</f>
        <v>0</v>
      </c>
      <c r="J433" s="772"/>
      <c r="K433" s="731"/>
      <c r="L433" s="763">
        <f>-(K413+K414+K417+K415+K416+L430+K418+K421)*poragmer-K425*poragmer</f>
        <v>0</v>
      </c>
      <c r="M433" s="772"/>
      <c r="N433" s="731"/>
      <c r="O433" s="763">
        <f>-(N413+N414+N417+N415+N416+O430+N418+N421)*poragmer-N425*poragmer</f>
        <v>0</v>
      </c>
      <c r="P433" s="772"/>
      <c r="Q433" s="31"/>
      <c r="R433" s="31"/>
      <c r="S433" s="31"/>
      <c r="T433" s="31"/>
      <c r="U433" s="31"/>
      <c r="V433" s="31"/>
    </row>
    <row r="434" spans="1:22" ht="16.5" hidden="1" thickBot="1">
      <c r="A434" s="31"/>
      <c r="B434" s="773" t="s">
        <v>499</v>
      </c>
      <c r="C434" s="770">
        <f t="shared" si="160"/>
        <v>0</v>
      </c>
      <c r="D434" s="569"/>
      <c r="E434" s="727"/>
      <c r="F434" s="766">
        <f>-(E414+E413+E417+E415+E416+F430+E418+E420+E421)*$C434</f>
        <v>0</v>
      </c>
      <c r="G434" s="728"/>
      <c r="H434" s="727"/>
      <c r="I434" s="766">
        <f>-(H414+H413+H417+H415+H416+I430+H418+H420+H421)*$C434</f>
        <v>0</v>
      </c>
      <c r="J434" s="728"/>
      <c r="K434" s="727"/>
      <c r="L434" s="766">
        <f>-(K414+K413+K417+K415+K416+L430+K418+K420+K421)*$C434</f>
        <v>0</v>
      </c>
      <c r="M434" s="728"/>
      <c r="N434" s="727"/>
      <c r="O434" s="766">
        <f>-(N414+N413+N417+N415+N416+O430+N418+N420+N421)*$C434</f>
        <v>0</v>
      </c>
      <c r="P434" s="728"/>
      <c r="Q434" s="31"/>
      <c r="R434" s="31"/>
      <c r="S434" s="31"/>
      <c r="T434" s="31"/>
      <c r="U434" s="31"/>
      <c r="V434" s="31"/>
    </row>
    <row r="435" spans="1:22" ht="16.5" hidden="1" thickBot="1">
      <c r="A435" s="31"/>
      <c r="B435" s="762"/>
      <c r="C435" s="762"/>
      <c r="D435" s="774" t="s">
        <v>500</v>
      </c>
      <c r="E435" s="775"/>
      <c r="F435" s="776">
        <f>SUM(F431:F434)</f>
        <v>-526076.39272569423</v>
      </c>
      <c r="G435" s="777"/>
      <c r="H435" s="775"/>
      <c r="I435" s="776">
        <f>SUM(I431:I434)</f>
        <v>-511130.87643271277</v>
      </c>
      <c r="J435" s="777"/>
      <c r="K435" s="775"/>
      <c r="L435" s="776">
        <f>SUM(L431:L434)</f>
        <v>-494283.99629187456</v>
      </c>
      <c r="M435" s="777"/>
      <c r="N435" s="775"/>
      <c r="O435" s="776">
        <f>SUM(O431:O434)</f>
        <v>-494283.99629187456</v>
      </c>
      <c r="P435" s="777"/>
      <c r="Q435" s="31"/>
      <c r="R435" s="31"/>
      <c r="S435" s="31"/>
      <c r="T435" s="31"/>
      <c r="U435" s="31"/>
      <c r="V435" s="31"/>
    </row>
    <row r="436" spans="1:22" ht="15.75" hidden="1" thickBot="1">
      <c r="A436" s="31"/>
      <c r="B436" s="569"/>
      <c r="C436" s="569"/>
      <c r="D436" s="569"/>
      <c r="E436" s="727"/>
      <c r="F436" s="727"/>
      <c r="G436" s="728"/>
      <c r="H436" s="727"/>
      <c r="I436" s="727"/>
      <c r="J436" s="728"/>
      <c r="K436" s="727"/>
      <c r="L436" s="727"/>
      <c r="M436" s="728"/>
      <c r="N436" s="727"/>
      <c r="O436" s="727"/>
      <c r="P436" s="728"/>
      <c r="Q436" s="31"/>
      <c r="R436" s="31"/>
      <c r="S436" s="31"/>
      <c r="T436" s="31"/>
      <c r="U436" s="31"/>
      <c r="V436" s="31"/>
    </row>
    <row r="437" spans="1:22" ht="18.75" hidden="1" thickBot="1">
      <c r="A437" s="31"/>
      <c r="B437" s="765"/>
      <c r="C437" s="569"/>
      <c r="D437" s="737"/>
      <c r="E437" s="778" t="s">
        <v>504</v>
      </c>
      <c r="F437" s="779">
        <f>E429+F435</f>
        <v>2103615.9378456427</v>
      </c>
      <c r="G437" s="761"/>
      <c r="H437" s="778" t="s">
        <v>504</v>
      </c>
      <c r="I437" s="779">
        <f>H429+I435</f>
        <v>2000603.2891705274</v>
      </c>
      <c r="J437" s="761"/>
      <c r="K437" s="778" t="s">
        <v>504</v>
      </c>
      <c r="L437" s="779">
        <f>K429+L435</f>
        <v>1940873.4413984646</v>
      </c>
      <c r="M437" s="761"/>
      <c r="N437" s="778" t="s">
        <v>504</v>
      </c>
      <c r="O437" s="779">
        <f>N429+O435</f>
        <v>1880873.4413984646</v>
      </c>
      <c r="P437" s="761"/>
      <c r="Q437" s="31"/>
      <c r="R437" s="31"/>
      <c r="S437" s="31"/>
      <c r="T437" s="31"/>
      <c r="U437" s="31"/>
      <c r="V437" s="31"/>
    </row>
    <row r="438" spans="1:22" ht="18.75" hidden="1" thickBot="1">
      <c r="A438" s="31"/>
      <c r="B438" s="780"/>
      <c r="C438" s="569"/>
      <c r="D438" s="737"/>
      <c r="E438" s="781"/>
      <c r="F438" s="779"/>
      <c r="G438" s="761"/>
      <c r="H438" s="781"/>
      <c r="I438" s="779"/>
      <c r="J438" s="761"/>
      <c r="K438" s="781"/>
      <c r="L438" s="779"/>
      <c r="M438" s="761"/>
      <c r="N438" s="781"/>
      <c r="O438" s="779"/>
      <c r="P438" s="761"/>
      <c r="Q438" s="31"/>
      <c r="R438" s="31"/>
      <c r="S438" s="31"/>
      <c r="T438" s="31"/>
      <c r="U438" s="31"/>
      <c r="V438" s="31"/>
    </row>
    <row r="439" spans="1:22" ht="18.75" hidden="1" thickBot="1">
      <c r="A439" s="31"/>
      <c r="B439" s="765"/>
      <c r="C439" s="569"/>
      <c r="D439" s="737"/>
      <c r="E439" s="782" t="s">
        <v>506</v>
      </c>
      <c r="F439" s="395">
        <f>F437-I437</f>
        <v>103012.64867511531</v>
      </c>
      <c r="G439" s="761"/>
      <c r="H439" s="782" t="s">
        <v>506</v>
      </c>
      <c r="I439" s="395">
        <f>I437-L437</f>
        <v>59729.847772062756</v>
      </c>
      <c r="J439" s="761"/>
      <c r="K439" s="782" t="s">
        <v>506</v>
      </c>
      <c r="L439" s="395">
        <f>L437-O437</f>
        <v>60000</v>
      </c>
      <c r="M439" s="761"/>
      <c r="N439" s="782" t="s">
        <v>506</v>
      </c>
      <c r="O439" s="783"/>
      <c r="P439" s="761"/>
      <c r="Q439" s="31"/>
      <c r="R439" s="31"/>
      <c r="S439" s="31"/>
      <c r="T439" s="31"/>
      <c r="U439" s="31"/>
      <c r="V439" s="31"/>
    </row>
    <row r="440" spans="1:22" ht="18.75" hidden="1" thickBot="1">
      <c r="A440" s="31"/>
      <c r="B440" s="765"/>
      <c r="C440" s="569"/>
      <c r="D440" s="737"/>
      <c r="E440" s="782" t="s">
        <v>507</v>
      </c>
      <c r="F440" s="397">
        <f>F439/I437</f>
        <v>5.1490792418833579E-2</v>
      </c>
      <c r="G440" s="761"/>
      <c r="H440" s="782" t="s">
        <v>507</v>
      </c>
      <c r="I440" s="397">
        <f>I439/L437</f>
        <v>3.077472569722289E-2</v>
      </c>
      <c r="J440" s="761"/>
      <c r="K440" s="782" t="s">
        <v>507</v>
      </c>
      <c r="L440" s="397">
        <f>L439/O437</f>
        <v>3.1900072955141988E-2</v>
      </c>
      <c r="M440" s="761"/>
      <c r="N440" s="782" t="s">
        <v>507</v>
      </c>
      <c r="O440" s="397"/>
      <c r="P440" s="761"/>
      <c r="Q440" s="31"/>
      <c r="R440" s="31"/>
      <c r="S440" s="31"/>
      <c r="T440" s="31"/>
      <c r="U440" s="31"/>
      <c r="V440" s="31"/>
    </row>
    <row r="441" spans="1:22" ht="18.75" hidden="1" thickBot="1">
      <c r="A441" s="31"/>
      <c r="B441" s="765"/>
      <c r="C441" s="569"/>
      <c r="D441" s="737"/>
      <c r="E441" s="784"/>
      <c r="F441" s="610"/>
      <c r="G441" s="737"/>
      <c r="H441" s="784"/>
      <c r="I441" s="610"/>
      <c r="J441" s="737"/>
      <c r="K441" s="784"/>
      <c r="L441" s="610"/>
      <c r="M441" s="737"/>
      <c r="N441" s="784"/>
      <c r="O441" s="610"/>
      <c r="P441" s="737"/>
      <c r="Q441" s="31"/>
      <c r="R441" s="31"/>
      <c r="S441" s="31"/>
      <c r="T441" s="31"/>
      <c r="U441" s="31"/>
      <c r="V441" s="31"/>
    </row>
    <row r="442" spans="1:22" ht="18.75" hidden="1" thickBot="1">
      <c r="A442" s="31"/>
      <c r="B442" s="785"/>
      <c r="C442" s="737"/>
      <c r="D442" s="786"/>
      <c r="E442" s="787" t="s">
        <v>454</v>
      </c>
      <c r="F442" s="406">
        <f>F437-$O437</f>
        <v>222742.49644717807</v>
      </c>
      <c r="G442" s="377"/>
      <c r="H442" s="787" t="s">
        <v>454</v>
      </c>
      <c r="I442" s="406">
        <f>I437-$O437</f>
        <v>119729.84777206276</v>
      </c>
      <c r="J442" s="377"/>
      <c r="K442" s="787" t="s">
        <v>454</v>
      </c>
      <c r="L442" s="406">
        <f>L437-$O437</f>
        <v>60000</v>
      </c>
      <c r="M442" s="377"/>
      <c r="N442" s="787" t="s">
        <v>454</v>
      </c>
      <c r="O442" s="788"/>
      <c r="P442" s="377"/>
      <c r="Q442" s="31"/>
      <c r="R442" s="31"/>
      <c r="S442" s="31"/>
      <c r="T442" s="31"/>
      <c r="U442" s="31"/>
      <c r="V442" s="31"/>
    </row>
    <row r="443" spans="1:22" ht="18.75" hidden="1" thickBot="1">
      <c r="A443" s="31"/>
      <c r="B443" s="785"/>
      <c r="C443" s="737"/>
      <c r="D443" s="786"/>
      <c r="E443" s="787" t="s">
        <v>509</v>
      </c>
      <c r="F443" s="407">
        <f>F442/$O437</f>
        <v>0.11842503144792392</v>
      </c>
      <c r="G443" s="377"/>
      <c r="H443" s="787" t="s">
        <v>509</v>
      </c>
      <c r="I443" s="407">
        <f>I442/$O437</f>
        <v>6.3656514647280768E-2</v>
      </c>
      <c r="J443" s="377"/>
      <c r="K443" s="787" t="s">
        <v>509</v>
      </c>
      <c r="L443" s="407">
        <f>L442/$O437</f>
        <v>3.1900072955141988E-2</v>
      </c>
      <c r="M443" s="377"/>
      <c r="N443" s="787" t="s">
        <v>509</v>
      </c>
      <c r="O443" s="407"/>
      <c r="P443" s="377"/>
      <c r="Q443" s="31"/>
      <c r="R443" s="31"/>
      <c r="S443" s="31"/>
      <c r="T443" s="31"/>
      <c r="U443" s="31"/>
      <c r="V443" s="31"/>
    </row>
    <row r="444" spans="1:22" ht="16.5" hidden="1" thickBot="1">
      <c r="A444" s="31"/>
      <c r="B444" s="785"/>
      <c r="C444" s="737"/>
      <c r="D444" s="786"/>
      <c r="E444" s="569"/>
      <c r="F444" s="328"/>
      <c r="G444" s="789"/>
      <c r="H444" s="569"/>
      <c r="I444" s="328"/>
      <c r="J444" s="789"/>
      <c r="K444" s="569"/>
      <c r="L444" s="328"/>
      <c r="M444" s="789"/>
      <c r="N444" s="569"/>
      <c r="O444" s="569"/>
      <c r="P444" s="789"/>
      <c r="Q444" s="31"/>
      <c r="R444" s="31"/>
      <c r="S444" s="31"/>
      <c r="T444" s="31"/>
      <c r="U444" s="31"/>
      <c r="V444" s="31"/>
    </row>
    <row r="445" spans="1:22" ht="18.75" hidden="1" thickBot="1">
      <c r="A445" s="31"/>
      <c r="B445" s="569"/>
      <c r="C445" s="569"/>
      <c r="D445" s="569"/>
      <c r="E445" s="309" t="s">
        <v>501</v>
      </c>
      <c r="F445" s="406">
        <f>(F437-E425-E426-E427-E428)-(I437-H425-H426-H427-H428)</f>
        <v>52988.648675115313</v>
      </c>
      <c r="G445" s="728"/>
      <c r="H445" s="309" t="s">
        <v>501</v>
      </c>
      <c r="I445" s="406">
        <f>(I437-H425-H426-H427-H428)-(L437-K425-K426-K427-K428)</f>
        <v>59729.847772062756</v>
      </c>
      <c r="J445" s="728"/>
      <c r="K445" s="309" t="s">
        <v>501</v>
      </c>
      <c r="L445" s="406">
        <f>(L437-K425-K426-K427-K428)-($O437-$N425-$N426-$N428)</f>
        <v>0</v>
      </c>
      <c r="M445" s="728"/>
      <c r="N445" s="309" t="s">
        <v>501</v>
      </c>
      <c r="O445" s="788"/>
      <c r="P445" s="728"/>
      <c r="Q445" s="31"/>
      <c r="R445" s="31"/>
      <c r="S445" s="31"/>
      <c r="T445" s="31"/>
      <c r="U445" s="31"/>
      <c r="V445" s="31"/>
    </row>
    <row r="446" spans="1:22" ht="18.75" hidden="1" thickBot="1">
      <c r="A446" s="31"/>
      <c r="B446" s="569"/>
      <c r="C446" s="569"/>
      <c r="D446" s="569"/>
      <c r="E446" s="311" t="s">
        <v>508</v>
      </c>
      <c r="F446" s="407">
        <f>F445/(F437-E425-E426-E427-E428)</f>
        <v>2.8409403082213784E-2</v>
      </c>
      <c r="G446" s="728"/>
      <c r="H446" s="311" t="s">
        <v>508</v>
      </c>
      <c r="I446" s="407">
        <f>I445/(L437-K425-K426-K427-K428)</f>
        <v>3.4083401985950869E-2</v>
      </c>
      <c r="J446" s="728"/>
      <c r="K446" s="311" t="s">
        <v>508</v>
      </c>
      <c r="L446" s="407">
        <f>L445/($O437-$N425-$N426-$N428)</f>
        <v>0</v>
      </c>
      <c r="M446" s="728"/>
      <c r="N446" s="311" t="s">
        <v>508</v>
      </c>
      <c r="O446" s="407"/>
      <c r="P446" s="728"/>
      <c r="Q446" s="31"/>
      <c r="R446" s="31"/>
      <c r="S446" s="31"/>
      <c r="T446" s="31"/>
      <c r="U446" s="31"/>
      <c r="V446" s="31"/>
    </row>
    <row r="447" spans="1:22" ht="18.75" hidden="1" thickBot="1">
      <c r="A447" s="31"/>
      <c r="B447" s="569"/>
      <c r="C447" s="569"/>
      <c r="D447" s="569"/>
      <c r="E447" s="737"/>
      <c r="F447" s="611"/>
      <c r="G447" s="728"/>
      <c r="H447" s="737"/>
      <c r="I447" s="611"/>
      <c r="J447" s="728"/>
      <c r="K447" s="737"/>
      <c r="L447" s="611"/>
      <c r="M447" s="728"/>
      <c r="N447" s="737"/>
      <c r="O447" s="790"/>
      <c r="P447" s="728"/>
      <c r="Q447" s="31"/>
      <c r="R447" s="31"/>
      <c r="S447" s="31"/>
      <c r="T447" s="31"/>
      <c r="U447" s="31"/>
      <c r="V447" s="31"/>
    </row>
    <row r="448" spans="1:22" ht="18.75" hidden="1" thickBot="1">
      <c r="A448" s="31"/>
      <c r="B448" s="569"/>
      <c r="C448" s="569"/>
      <c r="D448" s="569"/>
      <c r="E448" s="309" t="s">
        <v>510</v>
      </c>
      <c r="F448" s="406">
        <f>(F437-E425-E426-E427-E428)-($O437-$N425-$N426-$N427-$N428)</f>
        <v>112718.49644717807</v>
      </c>
      <c r="G448" s="728"/>
      <c r="H448" s="309" t="s">
        <v>510</v>
      </c>
      <c r="I448" s="406">
        <f>(I437-H425-H426-H427-H428)-($O437-$N425-$N426-$N428)</f>
        <v>59729.847772062756</v>
      </c>
      <c r="J448" s="728"/>
      <c r="K448" s="309" t="s">
        <v>510</v>
      </c>
      <c r="L448" s="406">
        <f>(L437-K425-K426-K427-K428)-($O437-$N425-$N426-$N428)</f>
        <v>0</v>
      </c>
      <c r="M448" s="728"/>
      <c r="N448" s="737"/>
      <c r="O448" s="790"/>
      <c r="P448" s="728"/>
      <c r="Q448" s="31"/>
      <c r="R448" s="31"/>
      <c r="S448" s="31"/>
      <c r="T448" s="31"/>
      <c r="U448" s="31"/>
      <c r="V448" s="31"/>
    </row>
    <row r="449" spans="1:22" ht="18.75" hidden="1" thickBot="1">
      <c r="A449" s="31"/>
      <c r="B449" s="569"/>
      <c r="C449" s="569"/>
      <c r="D449" s="569"/>
      <c r="E449" s="311" t="s">
        <v>502</v>
      </c>
      <c r="F449" s="408">
        <f>F448/($O437-$N425-$N426-$N428)</f>
        <v>6.4320100736269939E-2</v>
      </c>
      <c r="G449" s="728"/>
      <c r="H449" s="311" t="s">
        <v>502</v>
      </c>
      <c r="I449" s="407">
        <f>I448/($O437-$N425-$N426-$N428)</f>
        <v>3.4083401985950869E-2</v>
      </c>
      <c r="J449" s="728"/>
      <c r="K449" s="311" t="s">
        <v>502</v>
      </c>
      <c r="L449" s="408">
        <f>L448/($O437-$N425-$N426-$N428)</f>
        <v>0</v>
      </c>
      <c r="M449" s="728"/>
      <c r="N449" s="737"/>
      <c r="O449" s="790"/>
      <c r="P449" s="728"/>
      <c r="Q449" s="31"/>
      <c r="R449" s="31"/>
      <c r="S449" s="31"/>
      <c r="T449" s="31"/>
      <c r="U449" s="31"/>
      <c r="V449" s="31"/>
    </row>
    <row r="450" spans="1:22" ht="16.5" hidden="1" thickBot="1">
      <c r="A450" s="31"/>
      <c r="B450" s="569"/>
      <c r="C450" s="569"/>
      <c r="D450" s="569"/>
      <c r="E450" s="737"/>
      <c r="F450" s="790"/>
      <c r="G450" s="728"/>
      <c r="H450" s="737"/>
      <c r="I450" s="790"/>
      <c r="J450" s="728"/>
      <c r="K450" s="737"/>
      <c r="L450" s="790"/>
      <c r="M450" s="728"/>
      <c r="N450" s="737"/>
      <c r="O450" s="790"/>
      <c r="P450" s="728"/>
      <c r="Q450" s="31"/>
      <c r="R450" s="31"/>
      <c r="S450" s="31"/>
      <c r="T450" s="31"/>
      <c r="U450" s="31"/>
      <c r="V450" s="31"/>
    </row>
    <row r="451" spans="1:22" ht="16.5" hidden="1" thickBot="1">
      <c r="A451" s="31"/>
      <c r="B451" s="569"/>
      <c r="C451" s="569"/>
      <c r="D451" s="569"/>
      <c r="E451" s="737" t="s">
        <v>511</v>
      </c>
      <c r="F451" s="790"/>
      <c r="G451" s="728"/>
      <c r="H451" s="737" t="s">
        <v>511</v>
      </c>
      <c r="I451" s="790"/>
      <c r="J451" s="728"/>
      <c r="K451" s="737" t="s">
        <v>511</v>
      </c>
      <c r="L451" s="790"/>
      <c r="M451" s="728"/>
      <c r="N451" s="737" t="s">
        <v>511</v>
      </c>
      <c r="O451" s="790"/>
      <c r="P451" s="728"/>
      <c r="Q451" s="31"/>
      <c r="R451" s="31"/>
      <c r="S451" s="31"/>
      <c r="T451" s="31"/>
      <c r="U451" s="31"/>
      <c r="V451" s="31"/>
    </row>
    <row r="452" spans="1:22" ht="16.5" hidden="1" thickBot="1">
      <c r="A452" s="76"/>
      <c r="B452" s="569"/>
      <c r="C452" s="569"/>
      <c r="D452" s="569"/>
      <c r="E452" s="721" t="s">
        <v>512</v>
      </c>
      <c r="F452" s="791">
        <f>(E413+E414+E415+E416+E417+E418+E420+E421)*0.5</f>
        <v>1195628.1652856686</v>
      </c>
      <c r="G452" s="728"/>
      <c r="H452" s="721" t="s">
        <v>512</v>
      </c>
      <c r="I452" s="791">
        <f>(H413+H414+H415+H416+H417+H418+H420+H421)*0.5</f>
        <v>1161661.08280162</v>
      </c>
      <c r="J452" s="728"/>
      <c r="K452" s="721" t="s">
        <v>512</v>
      </c>
      <c r="L452" s="791">
        <f>(K413+K414+K415+K416+K417+K418+K420+K421)*0.5</f>
        <v>1123372.7188451695</v>
      </c>
      <c r="M452" s="728"/>
      <c r="N452" s="721" t="s">
        <v>512</v>
      </c>
      <c r="O452" s="791">
        <f>(N413+N414+N415+N416+N417+N418+N420+N421)*0.5</f>
        <v>1123372.7188451695</v>
      </c>
      <c r="P452" s="728"/>
      <c r="Q452" s="31"/>
      <c r="R452" s="31"/>
      <c r="S452" s="31"/>
      <c r="T452" s="31"/>
      <c r="U452" s="31"/>
      <c r="V452" s="31"/>
    </row>
    <row r="453" spans="1:22" ht="16.5" hidden="1" thickBot="1">
      <c r="A453" s="76"/>
      <c r="B453" s="569"/>
      <c r="C453" s="569"/>
      <c r="D453" s="569"/>
      <c r="E453" s="721" t="s">
        <v>513</v>
      </c>
      <c r="F453" s="790"/>
      <c r="G453" s="728"/>
      <c r="H453" s="721" t="s">
        <v>513</v>
      </c>
      <c r="I453" s="790"/>
      <c r="J453" s="728"/>
      <c r="K453" s="721" t="s">
        <v>513</v>
      </c>
      <c r="L453" s="790"/>
      <c r="M453" s="728"/>
      <c r="N453" s="721" t="s">
        <v>513</v>
      </c>
      <c r="O453" s="790"/>
      <c r="P453" s="728"/>
      <c r="Q453" s="31"/>
      <c r="R453" s="31"/>
      <c r="S453" s="31"/>
      <c r="T453" s="31"/>
      <c r="U453" s="31"/>
      <c r="V453" s="31"/>
    </row>
    <row r="454" spans="1:22" ht="15.75" hidden="1" thickBot="1">
      <c r="A454" s="76"/>
      <c r="B454" s="569"/>
      <c r="C454" s="569"/>
      <c r="D454" s="569"/>
      <c r="E454" s="569" t="s">
        <v>514</v>
      </c>
      <c r="F454" s="569">
        <f>F452*0.78</f>
        <v>932589.96892282157</v>
      </c>
      <c r="G454" s="728"/>
      <c r="H454" s="569" t="s">
        <v>514</v>
      </c>
      <c r="I454" s="569">
        <f>I452*0.78</f>
        <v>906095.64458526368</v>
      </c>
      <c r="J454" s="728"/>
      <c r="K454" s="569" t="s">
        <v>514</v>
      </c>
      <c r="L454" s="569">
        <f>L452*0.78</f>
        <v>876230.7206992323</v>
      </c>
      <c r="M454" s="728"/>
      <c r="N454" s="569" t="s">
        <v>514</v>
      </c>
      <c r="O454" s="569">
        <f>O452*0.78</f>
        <v>876230.7206992323</v>
      </c>
      <c r="P454" s="728"/>
      <c r="Q454" s="31"/>
      <c r="R454" s="31"/>
      <c r="S454" s="31"/>
      <c r="T454" s="31"/>
      <c r="U454" s="31"/>
      <c r="V454" s="31"/>
    </row>
    <row r="455" spans="1:22" ht="15.75" hidden="1" thickBot="1">
      <c r="A455" s="76"/>
      <c r="B455" s="569"/>
      <c r="C455" s="569"/>
      <c r="D455" s="569"/>
      <c r="E455" s="721" t="s">
        <v>515</v>
      </c>
      <c r="F455" s="721"/>
      <c r="G455" s="728"/>
      <c r="H455" s="721" t="s">
        <v>515</v>
      </c>
      <c r="I455" s="721"/>
      <c r="J455" s="728"/>
      <c r="K455" s="721" t="s">
        <v>515</v>
      </c>
      <c r="L455" s="721"/>
      <c r="M455" s="728"/>
      <c r="N455" s="721" t="s">
        <v>515</v>
      </c>
      <c r="O455" s="721"/>
      <c r="P455" s="728"/>
      <c r="Q455" s="31"/>
      <c r="R455" s="31"/>
      <c r="S455" s="31"/>
      <c r="T455" s="31"/>
      <c r="U455" s="31"/>
      <c r="V455" s="31"/>
    </row>
    <row r="456" spans="1:22" ht="16.5" hidden="1" thickBot="1">
      <c r="A456" s="76"/>
      <c r="B456" s="569"/>
      <c r="C456" s="569"/>
      <c r="D456" s="569"/>
      <c r="E456" s="792">
        <v>502</v>
      </c>
      <c r="F456" s="791">
        <f>-(E413+E414+E417+E415+E416+F430+E418+E420+F452+E421)*0.19</f>
        <v>-681508.05421283119</v>
      </c>
      <c r="G456" s="728"/>
      <c r="H456" s="792">
        <v>502</v>
      </c>
      <c r="I456" s="791">
        <f>-(H413+H414+H417+H415+H416+I430+H418+H420+I452+H421)*0.19</f>
        <v>-662146.81719692342</v>
      </c>
      <c r="J456" s="728"/>
      <c r="K456" s="792">
        <v>502</v>
      </c>
      <c r="L456" s="791">
        <f>-(K413+K414+K417+K415+K416+L430+K418+K420+L452+K421)*0.19</f>
        <v>-640322.44974174665</v>
      </c>
      <c r="M456" s="728"/>
      <c r="N456" s="792">
        <v>502</v>
      </c>
      <c r="O456" s="791">
        <f>-(N413+N414+N417+N415+N416+O430+N418+N420+O452+N421)*0.19</f>
        <v>-640322.44974174665</v>
      </c>
      <c r="P456" s="728"/>
      <c r="Q456" s="31"/>
      <c r="R456" s="31"/>
      <c r="S456" s="31"/>
      <c r="T456" s="31"/>
      <c r="U456" s="31"/>
      <c r="V456" s="31"/>
    </row>
    <row r="457" spans="1:22" ht="16.5" hidden="1" thickBot="1">
      <c r="A457" s="76"/>
      <c r="B457" s="569"/>
      <c r="C457" s="569"/>
      <c r="D457" s="569"/>
      <c r="E457" s="792">
        <v>505</v>
      </c>
      <c r="F457" s="791">
        <f>-(E413+E414+E417+E415+E416+F430+E418+E420+F452+E421)*0.03</f>
        <v>-107606.53487571017</v>
      </c>
      <c r="G457" s="728"/>
      <c r="H457" s="792">
        <v>505</v>
      </c>
      <c r="I457" s="791">
        <f>-(H413+H414+H417+H415+H416+I430+H418+H420+I452+H421)*0.03</f>
        <v>-104549.49745214579</v>
      </c>
      <c r="J457" s="728"/>
      <c r="K457" s="792">
        <v>505</v>
      </c>
      <c r="L457" s="791">
        <f>-(K413+K414+K417+K415+K416+L430+K418+K420+L452+K421)*0.03</f>
        <v>-101103.54469606525</v>
      </c>
      <c r="M457" s="728"/>
      <c r="N457" s="792">
        <v>505</v>
      </c>
      <c r="O457" s="791">
        <f>-(N413+N414+N417+N415+N416+O430+N418+N420+O452+N421)*0.03</f>
        <v>-101103.54469606525</v>
      </c>
      <c r="P457" s="728"/>
      <c r="Q457" s="31"/>
      <c r="R457" s="31"/>
      <c r="S457" s="31"/>
      <c r="T457" s="31"/>
      <c r="U457" s="31"/>
      <c r="V457" s="31"/>
    </row>
    <row r="458" spans="1:22" ht="16.5" hidden="1" thickBot="1">
      <c r="A458" s="76"/>
      <c r="B458" s="569"/>
      <c r="C458" s="569"/>
      <c r="D458" s="569"/>
      <c r="E458" s="790"/>
      <c r="F458" s="790"/>
      <c r="G458" s="728"/>
      <c r="H458" s="790"/>
      <c r="I458" s="790"/>
      <c r="J458" s="728"/>
      <c r="K458" s="790"/>
      <c r="L458" s="790"/>
      <c r="M458" s="728"/>
      <c r="N458" s="790"/>
      <c r="O458" s="790"/>
      <c r="P458" s="728"/>
      <c r="Q458" s="31"/>
      <c r="R458" s="31"/>
      <c r="S458" s="31"/>
      <c r="T458" s="31"/>
      <c r="U458" s="31"/>
      <c r="V458" s="31"/>
    </row>
    <row r="459" spans="1:22" ht="15.75" hidden="1" thickBot="1">
      <c r="A459" s="76"/>
      <c r="B459" s="569"/>
      <c r="C459" s="569"/>
      <c r="D459" s="569"/>
      <c r="E459" s="784" t="s">
        <v>516</v>
      </c>
      <c r="F459" s="784"/>
      <c r="G459" s="728"/>
      <c r="H459" s="784" t="s">
        <v>516</v>
      </c>
      <c r="I459" s="784"/>
      <c r="J459" s="728"/>
      <c r="K459" s="784" t="s">
        <v>516</v>
      </c>
      <c r="L459" s="784"/>
      <c r="M459" s="728"/>
      <c r="N459" s="784" t="s">
        <v>516</v>
      </c>
      <c r="O459" s="784"/>
      <c r="P459" s="728"/>
      <c r="Q459" s="31"/>
      <c r="R459" s="31"/>
      <c r="S459" s="31"/>
      <c r="T459" s="31"/>
      <c r="U459" s="31"/>
      <c r="V459" s="31"/>
    </row>
    <row r="460" spans="1:22" ht="16.5" hidden="1" thickBot="1">
      <c r="A460" s="76"/>
      <c r="B460" s="569"/>
      <c r="C460" s="569"/>
      <c r="D460" s="569"/>
      <c r="E460" s="784"/>
      <c r="F460" s="790">
        <f>E429+F452+F453+F456+F457</f>
        <v>3036205.9067684649</v>
      </c>
      <c r="G460" s="728"/>
      <c r="H460" s="784"/>
      <c r="I460" s="790">
        <f>H429+I452+I453+I456+I457</f>
        <v>2906698.9337557908</v>
      </c>
      <c r="J460" s="728"/>
      <c r="K460" s="784"/>
      <c r="L460" s="790">
        <f>K429+L452+L453+L456+L457</f>
        <v>2817104.1620976967</v>
      </c>
      <c r="M460" s="728"/>
      <c r="N460" s="784"/>
      <c r="O460" s="790">
        <f>N429+O452+O453+O456+O457</f>
        <v>2757104.1620976967</v>
      </c>
      <c r="P460" s="728"/>
      <c r="Q460" s="31"/>
      <c r="R460" s="31"/>
      <c r="S460" s="31"/>
      <c r="T460" s="31"/>
      <c r="U460" s="31"/>
      <c r="V460" s="31"/>
    </row>
    <row r="461" spans="1:22" ht="16.5" hidden="1" thickBot="1">
      <c r="A461" s="76"/>
      <c r="B461" s="569"/>
      <c r="C461" s="569"/>
      <c r="D461" s="569"/>
      <c r="E461" s="793" t="s">
        <v>517</v>
      </c>
      <c r="F461" s="793"/>
      <c r="G461" s="728"/>
      <c r="H461" s="793" t="s">
        <v>517</v>
      </c>
      <c r="I461" s="793"/>
      <c r="J461" s="728"/>
      <c r="K461" s="793" t="s">
        <v>517</v>
      </c>
      <c r="L461" s="793"/>
      <c r="M461" s="728"/>
      <c r="N461" s="793" t="s">
        <v>517</v>
      </c>
      <c r="O461" s="793"/>
      <c r="P461" s="728"/>
      <c r="Q461" s="31"/>
      <c r="R461" s="31"/>
      <c r="S461" s="31"/>
      <c r="T461" s="31"/>
      <c r="U461" s="31"/>
      <c r="V461" s="31"/>
    </row>
    <row r="462" spans="1:22" ht="18.75" hidden="1" thickBot="1">
      <c r="A462" s="76"/>
      <c r="B462" s="569"/>
      <c r="C462" s="569"/>
      <c r="D462" s="569"/>
      <c r="E462" s="569"/>
      <c r="F462" s="794">
        <f>F460-F437+F433</f>
        <v>932589.96892282227</v>
      </c>
      <c r="G462" s="795"/>
      <c r="H462" s="569"/>
      <c r="I462" s="794">
        <f>I460-I437+I433</f>
        <v>906095.64458526345</v>
      </c>
      <c r="J462" s="795"/>
      <c r="K462" s="569"/>
      <c r="L462" s="794">
        <f>L460-L437+L433</f>
        <v>876230.72069923207</v>
      </c>
      <c r="M462" s="795"/>
      <c r="N462" s="569"/>
      <c r="O462" s="794">
        <f>O460-O437+O433</f>
        <v>876230.72069923207</v>
      </c>
      <c r="P462" s="795"/>
      <c r="Q462" s="31"/>
      <c r="R462" s="31"/>
      <c r="S462" s="31"/>
      <c r="T462" s="31"/>
      <c r="U462" s="31"/>
      <c r="V462" s="31"/>
    </row>
    <row r="463" spans="1:22" ht="15.75" hidden="1" thickBot="1">
      <c r="A463" s="76"/>
      <c r="B463" s="569"/>
      <c r="C463" s="569"/>
      <c r="D463" s="569"/>
      <c r="E463" s="569"/>
      <c r="F463" s="569"/>
      <c r="G463" s="728"/>
      <c r="H463" s="569"/>
      <c r="I463" s="569"/>
      <c r="J463" s="728"/>
      <c r="K463" s="569"/>
      <c r="L463" s="569"/>
      <c r="M463" s="728"/>
      <c r="N463" s="569"/>
      <c r="O463" s="569"/>
      <c r="P463" s="728"/>
      <c r="Q463" s="31"/>
      <c r="R463" s="31"/>
      <c r="S463" s="31"/>
      <c r="T463" s="31"/>
      <c r="U463" s="31"/>
      <c r="V463" s="31"/>
    </row>
    <row r="464" spans="1:22" ht="20.25">
      <c r="A464" s="796" t="s">
        <v>540</v>
      </c>
      <c r="B464" s="31"/>
      <c r="C464" s="31"/>
      <c r="D464" s="31"/>
      <c r="E464" s="812">
        <v>46204</v>
      </c>
      <c r="F464" s="813">
        <f>Aumentojulio26</f>
        <v>6.6049999999999942E-2</v>
      </c>
      <c r="G464" s="814"/>
      <c r="H464" s="812">
        <v>46143</v>
      </c>
      <c r="I464" s="813">
        <v>3.5000000000000003E-2</v>
      </c>
      <c r="J464" s="814"/>
      <c r="K464" s="812">
        <v>46054</v>
      </c>
      <c r="L464" s="813">
        <v>0</v>
      </c>
      <c r="M464" s="814"/>
      <c r="N464" s="812">
        <v>45992</v>
      </c>
      <c r="O464" s="23"/>
      <c r="P464" s="21"/>
      <c r="Q464" s="31"/>
      <c r="R464" s="31"/>
      <c r="S464" s="31"/>
      <c r="T464" s="31"/>
      <c r="U464" s="31"/>
      <c r="V464" s="31"/>
    </row>
    <row r="465" spans="1:25" ht="18">
      <c r="A465" s="877" t="s">
        <v>541</v>
      </c>
      <c r="B465" s="878"/>
      <c r="C465" s="797"/>
      <c r="D465" s="79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22">
        <v>46023</v>
      </c>
      <c r="R465" s="158"/>
      <c r="S465" s="158"/>
      <c r="T465" s="158"/>
      <c r="U465" s="158"/>
      <c r="V465" s="158"/>
      <c r="W465" s="158"/>
      <c r="X465" s="158"/>
      <c r="Y465" s="158"/>
    </row>
    <row r="466" spans="1:25" ht="15.75">
      <c r="A466" s="865" t="s">
        <v>542</v>
      </c>
      <c r="B466" s="866"/>
      <c r="C466" s="866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</row>
    <row r="467" spans="1:25" ht="18">
      <c r="A467" s="867" t="s">
        <v>543</v>
      </c>
      <c r="B467" s="868"/>
      <c r="C467" s="86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</row>
    <row r="468" spans="1:25" ht="15.75">
      <c r="A468" s="869" t="s">
        <v>544</v>
      </c>
      <c r="B468" s="870"/>
      <c r="C468" s="870"/>
      <c r="D468" s="799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</row>
    <row r="469" spans="1:25" ht="15.75">
      <c r="A469" s="871" t="s">
        <v>545</v>
      </c>
      <c r="B469" s="866"/>
      <c r="C469" s="866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</row>
    <row r="470" spans="1:25">
      <c r="A470" s="800" t="s">
        <v>546</v>
      </c>
      <c r="B470" s="31"/>
      <c r="C470" s="31"/>
      <c r="D470" s="31"/>
      <c r="E470" s="31"/>
      <c r="F470" s="31"/>
      <c r="G470" s="31"/>
      <c r="H470" s="31"/>
      <c r="I470" s="31"/>
      <c r="J470" s="31"/>
      <c r="K470" s="37"/>
      <c r="L470" s="37"/>
      <c r="M470" s="37"/>
      <c r="N470" s="37"/>
      <c r="O470" s="37"/>
      <c r="P470" s="37"/>
      <c r="Q470" s="37"/>
      <c r="R470" s="37"/>
      <c r="S470" s="37"/>
    </row>
    <row r="471" spans="1: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7"/>
      <c r="L471" s="37"/>
      <c r="M471" s="37"/>
      <c r="N471" s="37"/>
      <c r="O471" s="37"/>
      <c r="P471" s="37"/>
      <c r="Q471" s="37"/>
      <c r="R471" s="37"/>
      <c r="S471" s="37"/>
    </row>
    <row r="472" spans="1:25" ht="15.75">
      <c r="A472" s="31"/>
      <c r="B472" s="31"/>
      <c r="C472" s="76"/>
      <c r="D472" s="96"/>
      <c r="E472" s="96"/>
      <c r="F472" s="96"/>
      <c r="G472" s="96"/>
      <c r="H472" s="96"/>
      <c r="I472" s="96"/>
      <c r="J472" s="96"/>
      <c r="K472" s="37"/>
      <c r="L472" s="37"/>
      <c r="M472" s="37"/>
      <c r="N472" s="37"/>
      <c r="O472" s="37"/>
      <c r="P472" s="37"/>
      <c r="Q472" s="37"/>
      <c r="R472" s="37"/>
      <c r="S472" s="37"/>
    </row>
    <row r="473" spans="1: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7"/>
      <c r="L473" s="37"/>
      <c r="M473" s="37"/>
      <c r="N473" s="37"/>
      <c r="O473" s="37"/>
      <c r="P473" s="37"/>
      <c r="Q473" s="37"/>
      <c r="R473" s="37"/>
      <c r="S473" s="37"/>
    </row>
    <row r="474" spans="1:25" ht="15.75">
      <c r="A474" s="31"/>
      <c r="B474" s="31"/>
      <c r="C474" s="76"/>
      <c r="D474" s="96"/>
      <c r="E474" s="96"/>
      <c r="F474" s="96"/>
      <c r="G474" s="96"/>
      <c r="H474" s="96"/>
      <c r="I474" s="96"/>
      <c r="J474" s="96"/>
      <c r="K474" s="37"/>
      <c r="L474" s="37"/>
      <c r="M474" s="37"/>
      <c r="N474" s="37"/>
      <c r="O474" s="37"/>
      <c r="P474" s="37"/>
      <c r="Q474" s="37"/>
      <c r="R474" s="37"/>
      <c r="S474" s="37"/>
    </row>
    <row r="475" spans="1:25" ht="18">
      <c r="A475" s="31"/>
      <c r="B475" s="801"/>
      <c r="C475" s="31"/>
      <c r="D475" s="134"/>
      <c r="E475" s="802"/>
      <c r="F475" s="802"/>
      <c r="G475" s="53"/>
      <c r="H475" s="31"/>
      <c r="I475" s="31"/>
      <c r="J475" s="31"/>
      <c r="K475" s="37"/>
      <c r="L475" s="37"/>
      <c r="M475" s="37"/>
      <c r="N475" s="37"/>
      <c r="O475" s="37"/>
      <c r="P475" s="37"/>
      <c r="Q475" s="37"/>
      <c r="R475" s="37"/>
      <c r="S475" s="37"/>
    </row>
    <row r="476" spans="1:25">
      <c r="A476" s="31"/>
      <c r="B476" s="49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</row>
    <row r="477" spans="1:25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</row>
    <row r="478" spans="1:25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</row>
  </sheetData>
  <sheetProtection algorithmName="SHA-512" hashValue="kQV9q1dEDu+JmKJpGrWBcwtmH0ajASepLu4JhXgZTsIT4MlXioATAC3YATDIYQFpTnkLBy/e4ra3jV3LYJWgAg==" saltValue="DaKb34IPwIU8EDeuq/4qSw==" spinCount="100000" sheet="1" objects="1" scenarios="1"/>
  <mergeCells count="28">
    <mergeCell ref="B62:C62"/>
    <mergeCell ref="A7:C7"/>
    <mergeCell ref="F39:H39"/>
    <mergeCell ref="F40:G40"/>
    <mergeCell ref="F41:G41"/>
    <mergeCell ref="A56:D56"/>
    <mergeCell ref="B347:C347"/>
    <mergeCell ref="B63:C63"/>
    <mergeCell ref="B65:C65"/>
    <mergeCell ref="B66:C66"/>
    <mergeCell ref="B67:C67"/>
    <mergeCell ref="B209:C209"/>
    <mergeCell ref="B210:C210"/>
    <mergeCell ref="B213:C213"/>
    <mergeCell ref="B214:C214"/>
    <mergeCell ref="B215:C215"/>
    <mergeCell ref="B217:C217"/>
    <mergeCell ref="B219:C219"/>
    <mergeCell ref="A466:C466"/>
    <mergeCell ref="A467:C467"/>
    <mergeCell ref="A468:C468"/>
    <mergeCell ref="A469:C469"/>
    <mergeCell ref="B348:C348"/>
    <mergeCell ref="B351:C351"/>
    <mergeCell ref="B352:C352"/>
    <mergeCell ref="B354:C354"/>
    <mergeCell ref="B355:C355"/>
    <mergeCell ref="A465:B465"/>
  </mergeCells>
  <phoneticPr fontId="135" type="noConversion"/>
  <hyperlinks>
    <hyperlink ref="A5" r:id="rId1" location="Cargos!A1" xr:uid="{D8B515B3-CB13-4A4C-884F-449E9F74D2DF}"/>
    <hyperlink ref="A467" r:id="rId2" xr:uid="{141B9BE6-EE8A-403E-BD41-FC37A3F00219}"/>
    <hyperlink ref="A468" r:id="rId3" xr:uid="{013E1293-D2D3-4F7E-A6AC-C7D9B07F5C5B}"/>
    <hyperlink ref="A469" r:id="rId4" xr:uid="{D9E815E4-565D-4C5C-A7A5-BD0F71B8FEB6}"/>
    <hyperlink ref="A470" r:id="rId5" xr:uid="{E9D30235-C15F-4B10-A611-D2AAAC5999D3}"/>
  </hyperlinks>
  <pageMargins left="0.7" right="0.7" top="0.75" bottom="0.75" header="0.3" footer="0.3"/>
  <pageSetup paperSize="9" orientation="portrait" r:id="rId6"/>
  <legacy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03B1D-1A0D-4E8D-8732-92D36697B57F}">
  <dimension ref="A1:K372"/>
  <sheetViews>
    <sheetView zoomScaleNormal="100" workbookViewId="0">
      <selection activeCell="A2" sqref="A2"/>
    </sheetView>
  </sheetViews>
  <sheetFormatPr baseColWidth="10" defaultRowHeight="15"/>
  <cols>
    <col min="1" max="1" width="7.7109375" bestFit="1" customWidth="1"/>
    <col min="2" max="2" width="40.42578125" customWidth="1"/>
    <col min="3" max="3" width="8.7109375" bestFit="1" customWidth="1"/>
    <col min="4" max="4" width="16.85546875" bestFit="1" customWidth="1"/>
    <col min="5" max="5" width="9.5703125" bestFit="1" customWidth="1"/>
    <col min="6" max="6" width="12.7109375" bestFit="1" customWidth="1"/>
    <col min="7" max="7" width="12.42578125" bestFit="1" customWidth="1"/>
    <col min="8" max="8" width="7" bestFit="1" customWidth="1"/>
    <col min="9" max="9" width="6" bestFit="1" customWidth="1"/>
    <col min="10" max="10" width="5.140625" bestFit="1" customWidth="1"/>
    <col min="11" max="11" width="11.140625" bestFit="1" customWidth="1"/>
  </cols>
  <sheetData>
    <row r="1" spans="1:11">
      <c r="A1" s="1" t="s">
        <v>0</v>
      </c>
      <c r="B1" s="1" t="s">
        <v>1</v>
      </c>
      <c r="C1" s="1" t="s">
        <v>2</v>
      </c>
      <c r="D1" s="13" t="s">
        <v>3</v>
      </c>
      <c r="E1" s="1" t="s">
        <v>4</v>
      </c>
      <c r="F1" s="1" t="s">
        <v>5</v>
      </c>
      <c r="G1" s="14" t="s">
        <v>6</v>
      </c>
      <c r="H1" s="1" t="s">
        <v>7</v>
      </c>
      <c r="I1" s="15" t="s">
        <v>8</v>
      </c>
      <c r="J1" s="1" t="s">
        <v>9</v>
      </c>
      <c r="K1" s="1" t="s">
        <v>10</v>
      </c>
    </row>
    <row r="2" spans="1:11">
      <c r="A2" s="1"/>
      <c r="B2" s="16" t="s">
        <v>11</v>
      </c>
      <c r="C2" s="17"/>
      <c r="D2" s="14"/>
      <c r="E2" s="1"/>
      <c r="F2" s="1"/>
      <c r="G2" s="14"/>
      <c r="H2" s="1" t="s">
        <v>12</v>
      </c>
      <c r="I2" s="15" t="s">
        <v>13</v>
      </c>
      <c r="J2" s="1" t="s">
        <v>14</v>
      </c>
      <c r="K2" s="17"/>
    </row>
    <row r="3" spans="1:11">
      <c r="A3" s="4">
        <v>400</v>
      </c>
      <c r="B3" s="18" t="s">
        <v>15</v>
      </c>
      <c r="C3" s="2">
        <v>2490</v>
      </c>
      <c r="D3" s="3">
        <v>0</v>
      </c>
      <c r="E3" s="4">
        <f t="shared" ref="E3:E66" si="0">C3+D3</f>
        <v>2490</v>
      </c>
      <c r="F3" s="3"/>
      <c r="G3" s="5"/>
      <c r="H3" s="4"/>
      <c r="I3" s="2"/>
      <c r="J3" s="6"/>
      <c r="K3" s="7"/>
    </row>
    <row r="4" spans="1:11">
      <c r="A4" s="4">
        <v>401</v>
      </c>
      <c r="B4" s="18" t="s">
        <v>16</v>
      </c>
      <c r="C4" s="2">
        <v>1610</v>
      </c>
      <c r="D4" s="3">
        <v>87</v>
      </c>
      <c r="E4" s="4">
        <f t="shared" si="0"/>
        <v>1697</v>
      </c>
      <c r="F4" s="3"/>
      <c r="G4" s="5"/>
      <c r="H4" s="4"/>
      <c r="I4" s="2"/>
      <c r="J4" s="6"/>
      <c r="K4" s="7"/>
    </row>
    <row r="5" spans="1:11">
      <c r="A5" s="4">
        <v>403</v>
      </c>
      <c r="B5" s="18" t="s">
        <v>17</v>
      </c>
      <c r="C5" s="2">
        <v>1680</v>
      </c>
      <c r="D5" s="3">
        <v>77</v>
      </c>
      <c r="E5" s="4">
        <f t="shared" si="0"/>
        <v>1757</v>
      </c>
      <c r="F5" s="3"/>
      <c r="G5" s="5"/>
      <c r="H5" s="4"/>
      <c r="I5" s="2">
        <v>830</v>
      </c>
      <c r="J5" s="6"/>
      <c r="K5" s="7"/>
    </row>
    <row r="6" spans="1:11">
      <c r="A6" s="4">
        <v>404</v>
      </c>
      <c r="B6" s="18" t="s">
        <v>18</v>
      </c>
      <c r="C6" s="2">
        <v>2000</v>
      </c>
      <c r="D6" s="3">
        <v>36</v>
      </c>
      <c r="E6" s="4">
        <f t="shared" si="0"/>
        <v>2036</v>
      </c>
      <c r="F6" s="3"/>
      <c r="G6" s="5"/>
      <c r="H6" s="4"/>
      <c r="I6" s="2"/>
      <c r="J6" s="6"/>
      <c r="K6" s="7"/>
    </row>
    <row r="7" spans="1:11">
      <c r="A7" s="4">
        <v>405</v>
      </c>
      <c r="B7" s="18" t="s">
        <v>19</v>
      </c>
      <c r="C7" s="2">
        <v>2840</v>
      </c>
      <c r="D7" s="3">
        <v>0</v>
      </c>
      <c r="E7" s="4">
        <f t="shared" si="0"/>
        <v>2840</v>
      </c>
      <c r="F7" s="3"/>
      <c r="G7" s="5"/>
      <c r="H7" s="4"/>
      <c r="I7" s="2"/>
      <c r="J7" s="6"/>
      <c r="K7" s="7"/>
    </row>
    <row r="8" spans="1:11">
      <c r="A8" s="4">
        <v>406</v>
      </c>
      <c r="B8" s="18" t="s">
        <v>20</v>
      </c>
      <c r="C8" s="2">
        <v>1840</v>
      </c>
      <c r="D8" s="3">
        <v>57</v>
      </c>
      <c r="E8" s="4">
        <f t="shared" si="0"/>
        <v>1897</v>
      </c>
      <c r="F8" s="3"/>
      <c r="G8" s="5"/>
      <c r="H8" s="4"/>
      <c r="I8" s="2"/>
      <c r="J8" s="6"/>
      <c r="K8" s="7"/>
    </row>
    <row r="9" spans="1:11">
      <c r="A9" s="4">
        <v>407</v>
      </c>
      <c r="B9" s="18" t="s">
        <v>21</v>
      </c>
      <c r="C9" s="2">
        <v>1680</v>
      </c>
      <c r="D9" s="3">
        <v>77</v>
      </c>
      <c r="E9" s="4">
        <f t="shared" si="0"/>
        <v>1757</v>
      </c>
      <c r="F9" s="3"/>
      <c r="G9" s="5"/>
      <c r="H9" s="4"/>
      <c r="I9" s="2"/>
      <c r="J9" s="6"/>
      <c r="K9" s="7"/>
    </row>
    <row r="10" spans="1:11">
      <c r="A10" s="4">
        <v>408</v>
      </c>
      <c r="B10" s="18" t="s">
        <v>22</v>
      </c>
      <c r="C10" s="2">
        <v>2510</v>
      </c>
      <c r="D10" s="3">
        <v>0</v>
      </c>
      <c r="E10" s="4">
        <f t="shared" si="0"/>
        <v>2510</v>
      </c>
      <c r="F10" s="3"/>
      <c r="G10" s="5"/>
      <c r="H10" s="4"/>
      <c r="I10" s="2"/>
      <c r="J10" s="6"/>
      <c r="K10" s="7"/>
    </row>
    <row r="11" spans="1:11">
      <c r="A11" s="4">
        <v>409</v>
      </c>
      <c r="B11" s="18" t="s">
        <v>23</v>
      </c>
      <c r="C11" s="2">
        <v>2000</v>
      </c>
      <c r="D11" s="3">
        <v>36</v>
      </c>
      <c r="E11" s="4">
        <f t="shared" si="0"/>
        <v>2036</v>
      </c>
      <c r="F11" s="3"/>
      <c r="G11" s="5"/>
      <c r="H11" s="4"/>
      <c r="I11" s="2">
        <v>830</v>
      </c>
      <c r="J11" s="6"/>
      <c r="K11" s="7"/>
    </row>
    <row r="12" spans="1:11">
      <c r="A12" s="4">
        <v>410</v>
      </c>
      <c r="B12" s="18" t="s">
        <v>24</v>
      </c>
      <c r="C12" s="2">
        <v>1740</v>
      </c>
      <c r="D12" s="3">
        <v>75</v>
      </c>
      <c r="E12" s="4">
        <f t="shared" si="0"/>
        <v>1815</v>
      </c>
      <c r="F12" s="3"/>
      <c r="G12" s="5"/>
      <c r="H12" s="4"/>
      <c r="I12" s="2"/>
      <c r="J12" s="6"/>
      <c r="K12" s="7"/>
    </row>
    <row r="13" spans="1:11">
      <c r="A13" s="4">
        <v>411</v>
      </c>
      <c r="B13" s="18" t="s">
        <v>25</v>
      </c>
      <c r="C13" s="2">
        <v>2300</v>
      </c>
      <c r="D13" s="3">
        <v>0</v>
      </c>
      <c r="E13" s="4">
        <f t="shared" si="0"/>
        <v>2300</v>
      </c>
      <c r="F13" s="3"/>
      <c r="G13" s="5"/>
      <c r="H13" s="4"/>
      <c r="I13" s="2"/>
      <c r="J13" s="6"/>
      <c r="K13" s="7"/>
    </row>
    <row r="14" spans="1:11">
      <c r="A14" s="4">
        <v>412</v>
      </c>
      <c r="B14" s="18" t="s">
        <v>26</v>
      </c>
      <c r="C14" s="2">
        <v>1690</v>
      </c>
      <c r="D14" s="3">
        <v>76</v>
      </c>
      <c r="E14" s="4">
        <f t="shared" si="0"/>
        <v>1766</v>
      </c>
      <c r="F14" s="3"/>
      <c r="G14" s="5"/>
      <c r="H14" s="4"/>
      <c r="I14" s="2"/>
      <c r="J14" s="6"/>
      <c r="K14" s="7"/>
    </row>
    <row r="15" spans="1:11">
      <c r="A15" s="4">
        <v>414</v>
      </c>
      <c r="B15" s="18" t="s">
        <v>27</v>
      </c>
      <c r="C15" s="2">
        <v>1340</v>
      </c>
      <c r="D15" s="3">
        <v>122</v>
      </c>
      <c r="E15" s="4">
        <f t="shared" si="0"/>
        <v>1462</v>
      </c>
      <c r="F15" s="3"/>
      <c r="G15" s="5"/>
      <c r="H15" s="4"/>
      <c r="I15" s="2"/>
      <c r="J15" s="6"/>
      <c r="K15" s="7"/>
    </row>
    <row r="16" spans="1:11">
      <c r="A16" s="4">
        <v>415</v>
      </c>
      <c r="B16" s="18" t="s">
        <v>28</v>
      </c>
      <c r="C16" s="2">
        <v>1500</v>
      </c>
      <c r="D16" s="3">
        <v>101</v>
      </c>
      <c r="E16" s="4">
        <f t="shared" si="0"/>
        <v>1601</v>
      </c>
      <c r="F16" s="3"/>
      <c r="G16" s="5"/>
      <c r="H16" s="4"/>
      <c r="I16" s="2"/>
      <c r="J16" s="6"/>
      <c r="K16" s="7"/>
    </row>
    <row r="17" spans="1:11">
      <c r="A17" s="4">
        <v>416</v>
      </c>
      <c r="B17" s="18" t="s">
        <v>29</v>
      </c>
      <c r="C17" s="2">
        <v>776.4</v>
      </c>
      <c r="D17" s="3">
        <v>0</v>
      </c>
      <c r="E17" s="4">
        <f t="shared" si="0"/>
        <v>776.4</v>
      </c>
      <c r="F17" s="3"/>
      <c r="G17" s="5"/>
      <c r="H17" s="4"/>
      <c r="I17" s="2"/>
      <c r="J17" s="6"/>
      <c r="K17" s="7"/>
    </row>
    <row r="18" spans="1:11">
      <c r="A18" s="4">
        <v>417</v>
      </c>
      <c r="B18" s="18" t="s">
        <v>30</v>
      </c>
      <c r="C18" s="2">
        <v>971</v>
      </c>
      <c r="D18" s="3">
        <v>414.7</v>
      </c>
      <c r="E18" s="4">
        <f t="shared" si="0"/>
        <v>1385.7</v>
      </c>
      <c r="F18" s="3"/>
      <c r="G18" s="5"/>
      <c r="H18" s="4"/>
      <c r="I18" s="2"/>
      <c r="J18" s="6"/>
      <c r="K18" s="7"/>
    </row>
    <row r="19" spans="1:11">
      <c r="A19" s="4">
        <v>418</v>
      </c>
      <c r="B19" s="18" t="s">
        <v>31</v>
      </c>
      <c r="C19" s="2">
        <v>1552.8</v>
      </c>
      <c r="D19" s="3">
        <v>0</v>
      </c>
      <c r="E19" s="4">
        <f t="shared" si="0"/>
        <v>1552.8</v>
      </c>
      <c r="F19" s="3"/>
      <c r="G19" s="5"/>
      <c r="H19" s="4"/>
      <c r="I19" s="2"/>
      <c r="J19" s="6"/>
      <c r="K19" s="7"/>
    </row>
    <row r="20" spans="1:11">
      <c r="A20" s="4">
        <v>419</v>
      </c>
      <c r="B20" s="18" t="s">
        <v>32</v>
      </c>
      <c r="C20" s="2">
        <v>776.4</v>
      </c>
      <c r="D20" s="3">
        <v>0</v>
      </c>
      <c r="E20" s="4">
        <f t="shared" si="0"/>
        <v>776.4</v>
      </c>
      <c r="F20" s="3"/>
      <c r="G20" s="5"/>
      <c r="H20" s="4"/>
      <c r="I20" s="2"/>
      <c r="J20" s="6"/>
      <c r="K20" s="7"/>
    </row>
    <row r="21" spans="1:11">
      <c r="A21" s="4">
        <v>420</v>
      </c>
      <c r="B21" s="18" t="s">
        <v>33</v>
      </c>
      <c r="C21" s="2">
        <v>1164.5999999999999</v>
      </c>
      <c r="D21" s="3">
        <v>0</v>
      </c>
      <c r="E21" s="4">
        <f t="shared" si="0"/>
        <v>1164.5999999999999</v>
      </c>
      <c r="F21" s="3"/>
      <c r="G21" s="5"/>
      <c r="H21" s="4"/>
      <c r="I21" s="2"/>
      <c r="J21" s="6"/>
      <c r="K21" s="7"/>
    </row>
    <row r="22" spans="1:11">
      <c r="A22" s="4">
        <v>421</v>
      </c>
      <c r="B22" s="18" t="s">
        <v>34</v>
      </c>
      <c r="C22" s="2">
        <v>1340</v>
      </c>
      <c r="D22" s="3">
        <v>122</v>
      </c>
      <c r="E22" s="4">
        <f t="shared" si="0"/>
        <v>1462</v>
      </c>
      <c r="F22" s="3"/>
      <c r="G22" s="5"/>
      <c r="H22" s="4"/>
      <c r="I22" s="2"/>
      <c r="J22" s="6"/>
      <c r="K22" s="7"/>
    </row>
    <row r="23" spans="1:11">
      <c r="A23" s="4">
        <v>422</v>
      </c>
      <c r="B23" s="18" t="s">
        <v>35</v>
      </c>
      <c r="C23" s="2">
        <v>971</v>
      </c>
      <c r="D23" s="3">
        <v>414.7</v>
      </c>
      <c r="E23" s="4">
        <f t="shared" si="0"/>
        <v>1385.7</v>
      </c>
      <c r="F23" s="3"/>
      <c r="G23" s="5"/>
      <c r="H23" s="4"/>
      <c r="I23" s="2"/>
      <c r="J23" s="6"/>
      <c r="K23" s="7"/>
    </row>
    <row r="24" spans="1:11">
      <c r="A24" s="4">
        <v>424</v>
      </c>
      <c r="B24" s="18" t="s">
        <v>36</v>
      </c>
      <c r="C24" s="2">
        <v>1370</v>
      </c>
      <c r="D24" s="3">
        <v>118</v>
      </c>
      <c r="E24" s="4">
        <f t="shared" si="0"/>
        <v>1488</v>
      </c>
      <c r="F24" s="3"/>
      <c r="G24" s="5"/>
      <c r="H24" s="4"/>
      <c r="I24" s="2"/>
      <c r="J24" s="6"/>
      <c r="K24" s="7"/>
    </row>
    <row r="25" spans="1:11">
      <c r="A25" s="4">
        <v>425</v>
      </c>
      <c r="B25" s="18" t="s">
        <v>37</v>
      </c>
      <c r="C25" s="2">
        <v>1580</v>
      </c>
      <c r="D25" s="3">
        <v>90</v>
      </c>
      <c r="E25" s="4">
        <f t="shared" si="0"/>
        <v>1670</v>
      </c>
      <c r="F25" s="3"/>
      <c r="G25" s="5"/>
      <c r="H25" s="4"/>
      <c r="I25" s="2"/>
      <c r="J25" s="6"/>
      <c r="K25" s="7"/>
    </row>
    <row r="26" spans="1:11">
      <c r="A26" s="4">
        <v>426</v>
      </c>
      <c r="B26" s="18" t="s">
        <v>38</v>
      </c>
      <c r="C26" s="2">
        <v>1340</v>
      </c>
      <c r="D26" s="3">
        <v>122</v>
      </c>
      <c r="E26" s="4">
        <f t="shared" si="0"/>
        <v>1462</v>
      </c>
      <c r="F26" s="3"/>
      <c r="G26" s="5"/>
      <c r="H26" s="4"/>
      <c r="I26" s="2"/>
      <c r="J26" s="6"/>
      <c r="K26" s="7"/>
    </row>
    <row r="27" spans="1:11">
      <c r="A27" s="4">
        <v>427</v>
      </c>
      <c r="B27" s="18" t="s">
        <v>39</v>
      </c>
      <c r="C27" s="2">
        <v>1300</v>
      </c>
      <c r="D27" s="3">
        <v>127</v>
      </c>
      <c r="E27" s="4">
        <f t="shared" si="0"/>
        <v>1427</v>
      </c>
      <c r="F27" s="3"/>
      <c r="G27" s="5"/>
      <c r="H27" s="4"/>
      <c r="I27" s="2"/>
      <c r="J27" s="6"/>
      <c r="K27" s="7"/>
    </row>
    <row r="28" spans="1:11">
      <c r="A28" s="4">
        <v>432</v>
      </c>
      <c r="B28" s="18" t="s">
        <v>40</v>
      </c>
      <c r="C28" s="2">
        <v>941</v>
      </c>
      <c r="D28" s="3">
        <v>414.7</v>
      </c>
      <c r="E28" s="4">
        <f t="shared" si="0"/>
        <v>1355.7</v>
      </c>
      <c r="F28" s="3"/>
      <c r="G28" s="5"/>
      <c r="H28" s="4"/>
      <c r="I28" s="2"/>
      <c r="J28" s="6"/>
      <c r="K28" s="7"/>
    </row>
    <row r="29" spans="1:11">
      <c r="A29" s="4">
        <v>433</v>
      </c>
      <c r="B29" s="18" t="s">
        <v>41</v>
      </c>
      <c r="C29" s="2">
        <v>941</v>
      </c>
      <c r="D29" s="3">
        <v>414.7</v>
      </c>
      <c r="E29" s="4">
        <f t="shared" si="0"/>
        <v>1355.7</v>
      </c>
      <c r="F29" s="3"/>
      <c r="G29" s="5"/>
      <c r="H29" s="4"/>
      <c r="I29" s="2"/>
      <c r="J29" s="6"/>
      <c r="K29" s="7"/>
    </row>
    <row r="30" spans="1:11">
      <c r="A30" s="4">
        <v>438</v>
      </c>
      <c r="B30" s="18" t="s">
        <v>42</v>
      </c>
      <c r="C30" s="2">
        <v>906</v>
      </c>
      <c r="D30" s="3">
        <v>414.7</v>
      </c>
      <c r="E30" s="4">
        <f t="shared" si="0"/>
        <v>1320.7</v>
      </c>
      <c r="F30" s="3"/>
      <c r="G30" s="5"/>
      <c r="H30" s="4"/>
      <c r="I30" s="2"/>
      <c r="J30" s="6"/>
      <c r="K30" s="7"/>
    </row>
    <row r="31" spans="1:11">
      <c r="A31" s="4">
        <v>440</v>
      </c>
      <c r="B31" s="18" t="s">
        <v>43</v>
      </c>
      <c r="C31" s="2">
        <v>1680</v>
      </c>
      <c r="D31" s="3">
        <v>77</v>
      </c>
      <c r="E31" s="4">
        <f t="shared" si="0"/>
        <v>1757</v>
      </c>
      <c r="F31" s="3"/>
      <c r="G31" s="5"/>
      <c r="H31" s="4"/>
      <c r="I31" s="2"/>
      <c r="J31" s="6"/>
      <c r="K31" s="7"/>
    </row>
    <row r="32" spans="1:11">
      <c r="A32" s="4">
        <v>441</v>
      </c>
      <c r="B32" s="18" t="s">
        <v>44</v>
      </c>
      <c r="C32" s="2">
        <v>2275</v>
      </c>
      <c r="D32" s="3">
        <v>0</v>
      </c>
      <c r="E32" s="4">
        <f t="shared" si="0"/>
        <v>2275</v>
      </c>
      <c r="F32" s="3"/>
      <c r="G32" s="5"/>
      <c r="H32" s="4"/>
      <c r="I32" s="2"/>
      <c r="J32" s="6"/>
      <c r="K32" s="7"/>
    </row>
    <row r="33" spans="1:11">
      <c r="A33" s="4">
        <v>443</v>
      </c>
      <c r="B33" s="18" t="s">
        <v>45</v>
      </c>
      <c r="C33" s="2">
        <v>1830</v>
      </c>
      <c r="D33" s="3">
        <v>58</v>
      </c>
      <c r="E33" s="4">
        <f t="shared" si="0"/>
        <v>1888</v>
      </c>
      <c r="F33" s="3"/>
      <c r="G33" s="5"/>
      <c r="H33" s="4"/>
      <c r="I33" s="2"/>
      <c r="J33" s="6"/>
      <c r="K33" s="7"/>
    </row>
    <row r="34" spans="1:11">
      <c r="A34" s="4">
        <v>444</v>
      </c>
      <c r="B34" s="18" t="s">
        <v>46</v>
      </c>
      <c r="C34" s="2">
        <v>1500</v>
      </c>
      <c r="D34" s="3">
        <v>101</v>
      </c>
      <c r="E34" s="4">
        <f t="shared" si="0"/>
        <v>1601</v>
      </c>
      <c r="F34" s="3"/>
      <c r="G34" s="5"/>
      <c r="H34" s="4"/>
      <c r="I34" s="2">
        <v>750</v>
      </c>
      <c r="J34" s="6"/>
      <c r="K34" s="7"/>
    </row>
    <row r="35" spans="1:11">
      <c r="A35" s="4">
        <v>445</v>
      </c>
      <c r="B35" s="18" t="s">
        <v>47</v>
      </c>
      <c r="C35" s="2">
        <v>1750</v>
      </c>
      <c r="D35" s="3">
        <v>68</v>
      </c>
      <c r="E35" s="4">
        <f t="shared" si="0"/>
        <v>1818</v>
      </c>
      <c r="F35" s="3"/>
      <c r="G35" s="5"/>
      <c r="H35" s="4"/>
      <c r="I35" s="2">
        <v>750</v>
      </c>
      <c r="J35" s="6"/>
      <c r="K35" s="7"/>
    </row>
    <row r="36" spans="1:11">
      <c r="A36" s="4">
        <v>450</v>
      </c>
      <c r="B36" s="18" t="s">
        <v>48</v>
      </c>
      <c r="C36" s="2">
        <v>2329.1999999999998</v>
      </c>
      <c r="D36" s="3">
        <v>0</v>
      </c>
      <c r="E36" s="4">
        <f t="shared" si="0"/>
        <v>2329.1999999999998</v>
      </c>
      <c r="F36" s="3"/>
      <c r="G36" s="5"/>
      <c r="H36" s="4"/>
      <c r="I36" s="2"/>
      <c r="J36" s="6"/>
      <c r="K36" s="7"/>
    </row>
    <row r="37" spans="1:11">
      <c r="A37" s="4">
        <v>454</v>
      </c>
      <c r="B37" s="18" t="s">
        <v>49</v>
      </c>
      <c r="C37" s="2">
        <v>1690</v>
      </c>
      <c r="D37" s="3">
        <v>76</v>
      </c>
      <c r="E37" s="4">
        <f t="shared" si="0"/>
        <v>1766</v>
      </c>
      <c r="F37" s="3"/>
      <c r="G37" s="5"/>
      <c r="H37" s="4"/>
      <c r="I37" s="2"/>
      <c r="J37" s="6"/>
      <c r="K37" s="7"/>
    </row>
    <row r="38" spans="1:11">
      <c r="A38" s="4">
        <v>455</v>
      </c>
      <c r="B38" s="18" t="s">
        <v>50</v>
      </c>
      <c r="C38" s="2">
        <v>922</v>
      </c>
      <c r="D38" s="3">
        <v>414.7</v>
      </c>
      <c r="E38" s="4">
        <f t="shared" si="0"/>
        <v>1336.7</v>
      </c>
      <c r="F38" s="3"/>
      <c r="G38" s="5"/>
      <c r="H38" s="4"/>
      <c r="I38" s="2"/>
      <c r="J38" s="6"/>
      <c r="K38" s="7"/>
    </row>
    <row r="39" spans="1:11">
      <c r="A39" s="4">
        <v>456</v>
      </c>
      <c r="B39" s="18" t="s">
        <v>51</v>
      </c>
      <c r="C39" s="2">
        <v>971</v>
      </c>
      <c r="D39" s="3">
        <v>414.7</v>
      </c>
      <c r="E39" s="4">
        <f t="shared" si="0"/>
        <v>1385.7</v>
      </c>
      <c r="F39" s="3"/>
      <c r="G39" s="5"/>
      <c r="H39" s="4"/>
      <c r="I39" s="2"/>
      <c r="J39" s="6"/>
      <c r="K39" s="7"/>
    </row>
    <row r="40" spans="1:11">
      <c r="A40" s="4">
        <v>457</v>
      </c>
      <c r="B40" s="18" t="s">
        <v>52</v>
      </c>
      <c r="C40" s="2">
        <v>2100</v>
      </c>
      <c r="D40" s="3">
        <v>23</v>
      </c>
      <c r="E40" s="4">
        <f t="shared" si="0"/>
        <v>2123</v>
      </c>
      <c r="F40" s="3"/>
      <c r="G40" s="5"/>
      <c r="H40" s="4"/>
      <c r="I40" s="2"/>
      <c r="J40" s="6"/>
      <c r="K40" s="7"/>
    </row>
    <row r="41" spans="1:11">
      <c r="A41" s="4">
        <v>460</v>
      </c>
      <c r="B41" s="18" t="s">
        <v>53</v>
      </c>
      <c r="C41" s="2">
        <v>2840</v>
      </c>
      <c r="D41" s="3">
        <v>0</v>
      </c>
      <c r="E41" s="4">
        <f t="shared" si="0"/>
        <v>2840</v>
      </c>
      <c r="F41" s="3"/>
      <c r="G41" s="5"/>
      <c r="H41" s="4"/>
      <c r="I41" s="2"/>
      <c r="J41" s="6"/>
      <c r="K41" s="7"/>
    </row>
    <row r="42" spans="1:11">
      <c r="A42" s="4">
        <v>461</v>
      </c>
      <c r="B42" s="18" t="s">
        <v>54</v>
      </c>
      <c r="C42" s="2">
        <v>2220</v>
      </c>
      <c r="D42" s="3">
        <v>7</v>
      </c>
      <c r="E42" s="4">
        <f t="shared" si="0"/>
        <v>2227</v>
      </c>
      <c r="F42" s="3">
        <v>521.4</v>
      </c>
      <c r="G42" s="5">
        <v>521.4</v>
      </c>
      <c r="H42" s="4"/>
      <c r="I42" s="2"/>
      <c r="J42" s="6"/>
      <c r="K42" s="7"/>
    </row>
    <row r="43" spans="1:11">
      <c r="A43" s="4">
        <v>465</v>
      </c>
      <c r="B43" s="18" t="s">
        <v>55</v>
      </c>
      <c r="C43" s="2">
        <v>1850</v>
      </c>
      <c r="D43" s="3">
        <v>55</v>
      </c>
      <c r="E43" s="4">
        <f t="shared" si="0"/>
        <v>1905</v>
      </c>
      <c r="F43" s="3"/>
      <c r="G43" s="5"/>
      <c r="H43" s="4"/>
      <c r="I43" s="2"/>
      <c r="J43" s="6"/>
      <c r="K43" s="7"/>
    </row>
    <row r="44" spans="1:11">
      <c r="A44" s="4">
        <v>468</v>
      </c>
      <c r="B44" s="18" t="s">
        <v>56</v>
      </c>
      <c r="C44" s="2">
        <v>2100</v>
      </c>
      <c r="D44" s="3">
        <v>23</v>
      </c>
      <c r="E44" s="4">
        <f t="shared" si="0"/>
        <v>2123</v>
      </c>
      <c r="F44" s="3"/>
      <c r="G44" s="5"/>
      <c r="H44" s="4"/>
      <c r="I44" s="2"/>
      <c r="J44" s="6"/>
      <c r="K44" s="7"/>
    </row>
    <row r="45" spans="1:11">
      <c r="A45" s="4">
        <v>469</v>
      </c>
      <c r="B45" s="18" t="s">
        <v>57</v>
      </c>
      <c r="C45" s="2">
        <v>1740</v>
      </c>
      <c r="D45" s="3">
        <v>75</v>
      </c>
      <c r="E45" s="4">
        <f t="shared" si="0"/>
        <v>1815</v>
      </c>
      <c r="F45" s="3"/>
      <c r="G45" s="5"/>
      <c r="H45" s="4"/>
      <c r="I45" s="2">
        <v>750</v>
      </c>
      <c r="J45" s="6"/>
      <c r="K45" s="7"/>
    </row>
    <row r="46" spans="1:11">
      <c r="A46" s="4">
        <v>470</v>
      </c>
      <c r="B46" s="18" t="s">
        <v>58</v>
      </c>
      <c r="C46" s="2">
        <v>1580</v>
      </c>
      <c r="D46" s="3">
        <v>90</v>
      </c>
      <c r="E46" s="4">
        <f t="shared" si="0"/>
        <v>1670</v>
      </c>
      <c r="F46" s="3">
        <v>347.6</v>
      </c>
      <c r="G46" s="5" t="s">
        <v>59</v>
      </c>
      <c r="H46" s="4"/>
      <c r="I46" s="2"/>
      <c r="J46" s="6"/>
      <c r="K46" s="7"/>
    </row>
    <row r="47" spans="1:11">
      <c r="A47" s="4">
        <v>472</v>
      </c>
      <c r="B47" s="18" t="s">
        <v>60</v>
      </c>
      <c r="C47" s="2">
        <v>1564</v>
      </c>
      <c r="D47" s="3">
        <v>93</v>
      </c>
      <c r="E47" s="4">
        <f t="shared" si="0"/>
        <v>1657</v>
      </c>
      <c r="F47" s="3"/>
      <c r="G47" s="5"/>
      <c r="H47" s="4"/>
      <c r="I47" s="2"/>
      <c r="J47" s="6"/>
      <c r="K47" s="7"/>
    </row>
    <row r="48" spans="1:11">
      <c r="A48" s="4">
        <v>480</v>
      </c>
      <c r="B48" s="18" t="s">
        <v>61</v>
      </c>
      <c r="C48" s="2">
        <v>971</v>
      </c>
      <c r="D48" s="3">
        <v>414.7</v>
      </c>
      <c r="E48" s="4">
        <f t="shared" si="0"/>
        <v>1385.7</v>
      </c>
      <c r="F48" s="3"/>
      <c r="G48" s="5"/>
      <c r="H48" s="4"/>
      <c r="I48" s="2"/>
      <c r="J48" s="6"/>
      <c r="K48" s="7"/>
    </row>
    <row r="49" spans="1:11">
      <c r="A49" s="4">
        <v>481</v>
      </c>
      <c r="B49" s="18" t="s">
        <v>62</v>
      </c>
      <c r="C49" s="2">
        <v>1250</v>
      </c>
      <c r="D49" s="3">
        <v>134</v>
      </c>
      <c r="E49" s="4">
        <f t="shared" si="0"/>
        <v>1384</v>
      </c>
      <c r="F49" s="3"/>
      <c r="G49" s="5"/>
      <c r="H49" s="4"/>
      <c r="I49" s="2"/>
      <c r="J49" s="6"/>
      <c r="K49" s="7"/>
    </row>
    <row r="50" spans="1:11">
      <c r="A50" s="4">
        <v>485</v>
      </c>
      <c r="B50" s="18" t="s">
        <v>63</v>
      </c>
      <c r="C50" s="2">
        <v>1850</v>
      </c>
      <c r="D50" s="3">
        <v>55</v>
      </c>
      <c r="E50" s="4">
        <f t="shared" si="0"/>
        <v>1905</v>
      </c>
      <c r="F50" s="3"/>
      <c r="G50" s="5"/>
      <c r="H50" s="4"/>
      <c r="I50" s="2"/>
      <c r="J50" s="6"/>
      <c r="K50" s="7"/>
    </row>
    <row r="51" spans="1:11">
      <c r="A51" s="4">
        <v>490</v>
      </c>
      <c r="B51" s="18" t="s">
        <v>64</v>
      </c>
      <c r="C51" s="2">
        <v>1750</v>
      </c>
      <c r="D51" s="3">
        <v>68</v>
      </c>
      <c r="E51" s="4">
        <f t="shared" si="0"/>
        <v>1818</v>
      </c>
      <c r="F51" s="3"/>
      <c r="G51" s="5"/>
      <c r="H51" s="4"/>
      <c r="I51" s="2"/>
      <c r="J51" s="6"/>
      <c r="K51" s="7"/>
    </row>
    <row r="52" spans="1:11">
      <c r="A52" s="4">
        <v>603</v>
      </c>
      <c r="B52" s="18" t="s">
        <v>65</v>
      </c>
      <c r="C52" s="2">
        <v>2913</v>
      </c>
      <c r="D52" s="3">
        <v>0</v>
      </c>
      <c r="E52" s="4">
        <f t="shared" si="0"/>
        <v>2913</v>
      </c>
      <c r="F52" s="3">
        <v>776</v>
      </c>
      <c r="G52" s="5" t="s">
        <v>66</v>
      </c>
      <c r="H52" s="4"/>
      <c r="I52" s="2"/>
      <c r="J52" s="6"/>
      <c r="K52" s="7"/>
    </row>
    <row r="53" spans="1:11">
      <c r="A53" s="4">
        <v>604</v>
      </c>
      <c r="B53" s="18" t="s">
        <v>67</v>
      </c>
      <c r="C53" s="2">
        <v>1690</v>
      </c>
      <c r="D53" s="3">
        <v>76</v>
      </c>
      <c r="E53" s="4">
        <f t="shared" si="0"/>
        <v>1766</v>
      </c>
      <c r="F53" s="3">
        <v>388.2</v>
      </c>
      <c r="G53" s="5" t="s">
        <v>68</v>
      </c>
      <c r="H53" s="4"/>
      <c r="I53" s="2"/>
      <c r="J53" s="6"/>
      <c r="K53" s="7"/>
    </row>
    <row r="54" spans="1:11">
      <c r="A54" s="4">
        <v>605</v>
      </c>
      <c r="B54" s="18" t="s">
        <v>69</v>
      </c>
      <c r="C54" s="2">
        <v>2913</v>
      </c>
      <c r="D54" s="3">
        <v>0</v>
      </c>
      <c r="E54" s="4">
        <f t="shared" si="0"/>
        <v>2913</v>
      </c>
      <c r="F54" s="3">
        <v>776</v>
      </c>
      <c r="G54" s="5" t="s">
        <v>66</v>
      </c>
      <c r="H54" s="4"/>
      <c r="I54" s="2"/>
      <c r="J54" s="6"/>
      <c r="K54" s="7"/>
    </row>
    <row r="55" spans="1:11">
      <c r="A55" s="4">
        <v>606</v>
      </c>
      <c r="B55" s="18" t="s">
        <v>70</v>
      </c>
      <c r="C55" s="2">
        <v>2913</v>
      </c>
      <c r="D55" s="3">
        <v>0</v>
      </c>
      <c r="E55" s="4">
        <f t="shared" si="0"/>
        <v>2913</v>
      </c>
      <c r="F55" s="3"/>
      <c r="G55" s="5"/>
      <c r="H55" s="4"/>
      <c r="I55" s="2"/>
      <c r="J55" s="6"/>
      <c r="K55" s="7"/>
    </row>
    <row r="56" spans="1:11">
      <c r="A56" s="4">
        <v>607</v>
      </c>
      <c r="B56" s="18" t="s">
        <v>71</v>
      </c>
      <c r="C56" s="2">
        <v>1370</v>
      </c>
      <c r="D56" s="3">
        <v>118</v>
      </c>
      <c r="E56" s="4">
        <f t="shared" si="0"/>
        <v>1488</v>
      </c>
      <c r="F56" s="3">
        <v>388</v>
      </c>
      <c r="G56" s="5" t="s">
        <v>68</v>
      </c>
      <c r="H56" s="4"/>
      <c r="I56" s="2"/>
      <c r="J56" s="6"/>
      <c r="K56" s="7"/>
    </row>
    <row r="57" spans="1:11">
      <c r="A57" s="4">
        <v>608</v>
      </c>
      <c r="B57" s="18" t="s">
        <v>72</v>
      </c>
      <c r="C57" s="2">
        <v>2913</v>
      </c>
      <c r="D57" s="3">
        <v>0</v>
      </c>
      <c r="E57" s="4">
        <f t="shared" si="0"/>
        <v>2913</v>
      </c>
      <c r="F57" s="3"/>
      <c r="G57" s="5"/>
      <c r="H57" s="4"/>
      <c r="I57" s="2"/>
      <c r="J57" s="6"/>
      <c r="K57" s="7"/>
    </row>
    <row r="58" spans="1:11">
      <c r="A58" s="4">
        <v>609</v>
      </c>
      <c r="B58" s="18" t="s">
        <v>73</v>
      </c>
      <c r="C58" s="2">
        <v>2000</v>
      </c>
      <c r="D58" s="3">
        <v>36</v>
      </c>
      <c r="E58" s="4">
        <f t="shared" si="0"/>
        <v>2036</v>
      </c>
      <c r="F58" s="3">
        <v>647</v>
      </c>
      <c r="G58" s="5" t="s">
        <v>74</v>
      </c>
      <c r="H58" s="4"/>
      <c r="I58" s="2"/>
      <c r="J58" s="6"/>
      <c r="K58" s="7"/>
    </row>
    <row r="59" spans="1:11">
      <c r="A59" s="4">
        <v>610</v>
      </c>
      <c r="B59" s="18" t="s">
        <v>75</v>
      </c>
      <c r="C59" s="2">
        <v>1680</v>
      </c>
      <c r="D59" s="3">
        <v>77</v>
      </c>
      <c r="E59" s="4">
        <f t="shared" si="0"/>
        <v>1757</v>
      </c>
      <c r="F59" s="3"/>
      <c r="G59" s="5"/>
      <c r="H59" s="4"/>
      <c r="I59" s="2"/>
      <c r="J59" s="6"/>
      <c r="K59" s="7"/>
    </row>
    <row r="60" spans="1:11">
      <c r="A60" s="4">
        <v>611</v>
      </c>
      <c r="B60" s="18" t="s">
        <v>76</v>
      </c>
      <c r="C60" s="2">
        <v>1840</v>
      </c>
      <c r="D60" s="3">
        <v>57</v>
      </c>
      <c r="E60" s="4">
        <f t="shared" si="0"/>
        <v>1897</v>
      </c>
      <c r="F60" s="3" t="s">
        <v>77</v>
      </c>
      <c r="G60" s="5" t="s">
        <v>77</v>
      </c>
      <c r="H60" s="4"/>
      <c r="I60" s="2"/>
      <c r="J60" s="6"/>
      <c r="K60" s="7"/>
    </row>
    <row r="61" spans="1:11">
      <c r="A61" s="4">
        <v>612</v>
      </c>
      <c r="B61" s="18" t="s">
        <v>78</v>
      </c>
      <c r="C61" s="2">
        <v>1690</v>
      </c>
      <c r="D61" s="3">
        <v>76</v>
      </c>
      <c r="E61" s="4">
        <f t="shared" si="0"/>
        <v>1766</v>
      </c>
      <c r="F61" s="3" t="s">
        <v>79</v>
      </c>
      <c r="G61" s="5" t="s">
        <v>79</v>
      </c>
      <c r="H61" s="4"/>
      <c r="I61" s="2"/>
      <c r="J61" s="6"/>
      <c r="K61" s="7"/>
    </row>
    <row r="62" spans="1:11">
      <c r="A62" s="4">
        <v>613</v>
      </c>
      <c r="B62" s="18" t="s">
        <v>80</v>
      </c>
      <c r="C62" s="2">
        <v>1680</v>
      </c>
      <c r="D62" s="3">
        <v>77</v>
      </c>
      <c r="E62" s="4">
        <f t="shared" si="0"/>
        <v>1757</v>
      </c>
      <c r="F62" s="3" t="s">
        <v>79</v>
      </c>
      <c r="G62" s="5" t="s">
        <v>79</v>
      </c>
      <c r="H62" s="4"/>
      <c r="I62" s="2"/>
      <c r="J62" s="6">
        <v>0</v>
      </c>
      <c r="K62" s="7"/>
    </row>
    <row r="63" spans="1:11">
      <c r="A63" s="4">
        <v>614</v>
      </c>
      <c r="B63" s="18" t="s">
        <v>81</v>
      </c>
      <c r="C63" s="2">
        <v>1740</v>
      </c>
      <c r="D63" s="3">
        <v>75</v>
      </c>
      <c r="E63" s="4">
        <f t="shared" si="0"/>
        <v>1815</v>
      </c>
      <c r="F63" s="3" t="s">
        <v>82</v>
      </c>
      <c r="G63" s="5" t="s">
        <v>82</v>
      </c>
      <c r="H63" s="4"/>
      <c r="I63" s="2"/>
      <c r="J63" s="6"/>
      <c r="K63" s="7"/>
    </row>
    <row r="64" spans="1:11">
      <c r="A64" s="4">
        <v>615</v>
      </c>
      <c r="B64" s="18" t="s">
        <v>83</v>
      </c>
      <c r="C64" s="2">
        <v>1610</v>
      </c>
      <c r="D64" s="3">
        <v>87</v>
      </c>
      <c r="E64" s="4">
        <f t="shared" si="0"/>
        <v>1697</v>
      </c>
      <c r="F64" s="3" t="s">
        <v>68</v>
      </c>
      <c r="G64" s="5" t="s">
        <v>68</v>
      </c>
      <c r="H64" s="4"/>
      <c r="I64" s="2"/>
      <c r="J64" s="6"/>
      <c r="K64" s="7"/>
    </row>
    <row r="65" spans="1:11">
      <c r="A65" s="4">
        <v>616</v>
      </c>
      <c r="B65" s="18" t="s">
        <v>84</v>
      </c>
      <c r="C65" s="2">
        <v>1840</v>
      </c>
      <c r="D65" s="3">
        <v>57</v>
      </c>
      <c r="E65" s="4">
        <f t="shared" si="0"/>
        <v>1897</v>
      </c>
      <c r="F65" s="3"/>
      <c r="G65" s="5" t="s">
        <v>77</v>
      </c>
      <c r="H65" s="4"/>
      <c r="I65" s="2"/>
      <c r="J65" s="6"/>
      <c r="K65" s="7"/>
    </row>
    <row r="66" spans="1:11">
      <c r="A66" s="4">
        <v>617</v>
      </c>
      <c r="B66" s="18" t="s">
        <v>85</v>
      </c>
      <c r="C66" s="2">
        <v>1610</v>
      </c>
      <c r="D66" s="3">
        <v>87</v>
      </c>
      <c r="E66" s="4">
        <f t="shared" si="0"/>
        <v>1697</v>
      </c>
      <c r="F66" s="3"/>
      <c r="G66" s="5" t="s">
        <v>68</v>
      </c>
      <c r="H66" s="4"/>
      <c r="I66" s="2"/>
      <c r="J66" s="6"/>
      <c r="K66" s="7"/>
    </row>
    <row r="67" spans="1:11">
      <c r="A67" s="4">
        <v>618</v>
      </c>
      <c r="B67" s="18" t="s">
        <v>86</v>
      </c>
      <c r="C67" s="2">
        <v>1340</v>
      </c>
      <c r="D67" s="3">
        <v>122</v>
      </c>
      <c r="E67" s="4">
        <f t="shared" ref="E67:E130" si="1">C67+D67</f>
        <v>1462</v>
      </c>
      <c r="F67" s="3"/>
      <c r="G67" s="5" t="s">
        <v>68</v>
      </c>
      <c r="H67" s="4"/>
      <c r="I67" s="2"/>
      <c r="J67" s="6"/>
      <c r="K67" s="7"/>
    </row>
    <row r="68" spans="1:11">
      <c r="A68" s="4">
        <v>619</v>
      </c>
      <c r="B68" s="18" t="s">
        <v>87</v>
      </c>
      <c r="C68" s="2">
        <v>971</v>
      </c>
      <c r="D68" s="3">
        <v>414.7</v>
      </c>
      <c r="E68" s="4">
        <f t="shared" si="1"/>
        <v>1385.7</v>
      </c>
      <c r="F68" s="3"/>
      <c r="G68" s="5"/>
      <c r="H68" s="4"/>
      <c r="I68" s="2"/>
      <c r="J68" s="6"/>
      <c r="K68" s="7"/>
    </row>
    <row r="69" spans="1:11">
      <c r="A69" s="4">
        <v>620</v>
      </c>
      <c r="B69" s="18" t="s">
        <v>88</v>
      </c>
      <c r="C69" s="2">
        <v>1550</v>
      </c>
      <c r="D69" s="3">
        <v>94</v>
      </c>
      <c r="E69" s="4">
        <f t="shared" si="1"/>
        <v>1644</v>
      </c>
      <c r="F69" s="3"/>
      <c r="G69" s="5" t="s">
        <v>68</v>
      </c>
      <c r="H69" s="4"/>
      <c r="I69" s="2"/>
      <c r="J69" s="6"/>
      <c r="K69" s="7"/>
    </row>
    <row r="70" spans="1:11">
      <c r="A70" s="4">
        <v>621</v>
      </c>
      <c r="B70" s="18" t="s">
        <v>89</v>
      </c>
      <c r="C70" s="2">
        <v>1340</v>
      </c>
      <c r="D70" s="3">
        <v>122</v>
      </c>
      <c r="E70" s="4">
        <f t="shared" si="1"/>
        <v>1462</v>
      </c>
      <c r="F70" s="3"/>
      <c r="G70" s="5"/>
      <c r="H70" s="4"/>
      <c r="I70" s="2"/>
      <c r="J70" s="6"/>
      <c r="K70" s="7"/>
    </row>
    <row r="71" spans="1:11">
      <c r="A71" s="4">
        <v>622</v>
      </c>
      <c r="B71" s="18" t="s">
        <v>90</v>
      </c>
      <c r="C71" s="2">
        <v>971</v>
      </c>
      <c r="D71" s="3">
        <v>414.7</v>
      </c>
      <c r="E71" s="4">
        <f t="shared" si="1"/>
        <v>1385.7</v>
      </c>
      <c r="F71" s="3"/>
      <c r="G71" s="5"/>
      <c r="H71" s="4"/>
      <c r="I71" s="2"/>
      <c r="J71" s="6"/>
      <c r="K71" s="7"/>
    </row>
    <row r="72" spans="1:11">
      <c r="A72" s="4">
        <v>624</v>
      </c>
      <c r="B72" s="18" t="s">
        <v>91</v>
      </c>
      <c r="C72" s="2">
        <v>971</v>
      </c>
      <c r="D72" s="3">
        <v>414.7</v>
      </c>
      <c r="E72" s="4">
        <f t="shared" si="1"/>
        <v>1385.7</v>
      </c>
      <c r="F72" s="3"/>
      <c r="G72" s="5"/>
      <c r="H72" s="4"/>
      <c r="I72" s="2"/>
      <c r="J72" s="6"/>
      <c r="K72" s="7"/>
    </row>
    <row r="73" spans="1:11">
      <c r="A73" s="4">
        <v>625</v>
      </c>
      <c r="B73" s="18" t="s">
        <v>92</v>
      </c>
      <c r="C73" s="2">
        <v>1370</v>
      </c>
      <c r="D73" s="3">
        <v>118</v>
      </c>
      <c r="E73" s="4">
        <f t="shared" si="1"/>
        <v>1488</v>
      </c>
      <c r="F73" s="3">
        <v>388</v>
      </c>
      <c r="G73" s="5" t="s">
        <v>68</v>
      </c>
      <c r="H73" s="4"/>
      <c r="I73" s="2"/>
      <c r="J73" s="6"/>
      <c r="K73" s="7"/>
    </row>
    <row r="74" spans="1:11">
      <c r="A74" s="4">
        <v>626</v>
      </c>
      <c r="B74" s="18" t="s">
        <v>93</v>
      </c>
      <c r="C74" s="2">
        <v>1340</v>
      </c>
      <c r="D74" s="3">
        <v>122</v>
      </c>
      <c r="E74" s="4">
        <f t="shared" si="1"/>
        <v>1462</v>
      </c>
      <c r="F74" s="3">
        <v>388</v>
      </c>
      <c r="G74" s="5" t="s">
        <v>68</v>
      </c>
      <c r="H74" s="4"/>
      <c r="I74" s="2"/>
      <c r="J74" s="6"/>
      <c r="K74" s="7"/>
    </row>
    <row r="75" spans="1:11">
      <c r="A75" s="4">
        <v>627</v>
      </c>
      <c r="B75" s="18" t="s">
        <v>94</v>
      </c>
      <c r="C75" s="2">
        <v>1300</v>
      </c>
      <c r="D75" s="3">
        <v>127</v>
      </c>
      <c r="E75" s="4">
        <f t="shared" si="1"/>
        <v>1427</v>
      </c>
      <c r="F75" s="3">
        <v>388</v>
      </c>
      <c r="G75" s="5" t="s">
        <v>68</v>
      </c>
      <c r="H75" s="4"/>
      <c r="I75" s="2"/>
      <c r="J75" s="6"/>
      <c r="K75" s="7"/>
    </row>
    <row r="76" spans="1:11">
      <c r="A76" s="4">
        <v>628</v>
      </c>
      <c r="B76" s="18" t="s">
        <v>95</v>
      </c>
      <c r="C76" s="2">
        <v>980</v>
      </c>
      <c r="D76" s="3">
        <v>169</v>
      </c>
      <c r="E76" s="4">
        <f t="shared" si="1"/>
        <v>1149</v>
      </c>
      <c r="F76" s="3"/>
      <c r="G76" s="5"/>
      <c r="H76" s="4"/>
      <c r="I76" s="2"/>
      <c r="J76" s="6"/>
      <c r="K76" s="7"/>
    </row>
    <row r="77" spans="1:11">
      <c r="A77" s="4">
        <v>629</v>
      </c>
      <c r="B77" s="18" t="s">
        <v>96</v>
      </c>
      <c r="C77" s="2">
        <v>941</v>
      </c>
      <c r="D77" s="3">
        <v>414.7</v>
      </c>
      <c r="E77" s="4">
        <f t="shared" si="1"/>
        <v>1355.7</v>
      </c>
      <c r="F77" s="3"/>
      <c r="G77" s="5"/>
      <c r="H77" s="4"/>
      <c r="I77" s="2"/>
      <c r="J77" s="6"/>
      <c r="K77" s="7"/>
    </row>
    <row r="78" spans="1:11">
      <c r="A78" s="4">
        <v>632</v>
      </c>
      <c r="B78" s="18" t="s">
        <v>40</v>
      </c>
      <c r="C78" s="2">
        <v>941</v>
      </c>
      <c r="D78" s="3">
        <v>414.7</v>
      </c>
      <c r="E78" s="4">
        <f t="shared" si="1"/>
        <v>1355.7</v>
      </c>
      <c r="F78" s="3"/>
      <c r="G78" s="5"/>
      <c r="H78" s="4"/>
      <c r="I78" s="2"/>
      <c r="J78" s="6"/>
      <c r="K78" s="7"/>
    </row>
    <row r="79" spans="1:11">
      <c r="A79" s="4">
        <v>633</v>
      </c>
      <c r="B79" s="18" t="s">
        <v>97</v>
      </c>
      <c r="C79" s="2">
        <v>941</v>
      </c>
      <c r="D79" s="3">
        <v>414.7</v>
      </c>
      <c r="E79" s="4">
        <f t="shared" si="1"/>
        <v>1355.7</v>
      </c>
      <c r="F79" s="3"/>
      <c r="G79" s="5"/>
      <c r="H79" s="4"/>
      <c r="I79" s="2"/>
      <c r="J79" s="6"/>
      <c r="K79" s="7"/>
    </row>
    <row r="80" spans="1:11">
      <c r="A80" s="4">
        <v>634</v>
      </c>
      <c r="B80" s="18" t="s">
        <v>98</v>
      </c>
      <c r="C80" s="2">
        <v>971</v>
      </c>
      <c r="D80" s="3">
        <v>414.7</v>
      </c>
      <c r="E80" s="4">
        <f t="shared" si="1"/>
        <v>1385.7</v>
      </c>
      <c r="F80" s="3"/>
      <c r="G80" s="5"/>
      <c r="H80" s="4"/>
      <c r="I80" s="2"/>
      <c r="J80" s="6"/>
      <c r="K80" s="7"/>
    </row>
    <row r="81" spans="1:11">
      <c r="A81" s="4">
        <v>635</v>
      </c>
      <c r="B81" s="18" t="s">
        <v>99</v>
      </c>
      <c r="C81" s="2">
        <v>1740</v>
      </c>
      <c r="D81" s="3">
        <v>75</v>
      </c>
      <c r="E81" s="4">
        <f t="shared" si="1"/>
        <v>1815</v>
      </c>
      <c r="F81" s="3">
        <v>388</v>
      </c>
      <c r="G81" s="5" t="s">
        <v>68</v>
      </c>
      <c r="H81" s="4"/>
      <c r="I81" s="2"/>
      <c r="J81" s="3"/>
      <c r="K81" s="7"/>
    </row>
    <row r="82" spans="1:11">
      <c r="A82" s="4">
        <v>636</v>
      </c>
      <c r="B82" s="18" t="s">
        <v>100</v>
      </c>
      <c r="C82" s="2">
        <v>971</v>
      </c>
      <c r="D82" s="3">
        <v>414.7</v>
      </c>
      <c r="E82" s="4">
        <f t="shared" si="1"/>
        <v>1385.7</v>
      </c>
      <c r="F82" s="3"/>
      <c r="G82" s="5"/>
      <c r="H82" s="4"/>
      <c r="I82" s="2"/>
      <c r="J82" s="3"/>
      <c r="K82" s="7"/>
    </row>
    <row r="83" spans="1:11">
      <c r="A83" s="4">
        <v>637</v>
      </c>
      <c r="B83" s="18" t="s">
        <v>101</v>
      </c>
      <c r="C83" s="2">
        <v>971</v>
      </c>
      <c r="D83" s="3">
        <v>414.7</v>
      </c>
      <c r="E83" s="4">
        <f t="shared" si="1"/>
        <v>1385.7</v>
      </c>
      <c r="F83" s="3"/>
      <c r="G83" s="5"/>
      <c r="H83" s="4"/>
      <c r="I83" s="2"/>
      <c r="J83" s="3"/>
      <c r="K83" s="7"/>
    </row>
    <row r="84" spans="1:11">
      <c r="A84" s="4">
        <v>639</v>
      </c>
      <c r="B84" s="18" t="s">
        <v>102</v>
      </c>
      <c r="C84" s="2">
        <v>1300</v>
      </c>
      <c r="D84" s="3">
        <v>127</v>
      </c>
      <c r="E84" s="4">
        <f t="shared" si="1"/>
        <v>1427</v>
      </c>
      <c r="F84" s="3"/>
      <c r="G84" s="5"/>
      <c r="H84" s="4"/>
      <c r="I84" s="2"/>
      <c r="J84" s="3"/>
      <c r="K84" s="7"/>
    </row>
    <row r="85" spans="1:11">
      <c r="A85" s="4">
        <v>640</v>
      </c>
      <c r="B85" s="18" t="s">
        <v>103</v>
      </c>
      <c r="C85" s="2">
        <v>1680</v>
      </c>
      <c r="D85" s="3">
        <v>77</v>
      </c>
      <c r="E85" s="4">
        <f t="shared" si="1"/>
        <v>1757</v>
      </c>
      <c r="F85" s="3">
        <v>453</v>
      </c>
      <c r="G85" s="5" t="s">
        <v>79</v>
      </c>
      <c r="H85" s="4"/>
      <c r="I85" s="2"/>
      <c r="J85" s="3"/>
      <c r="K85" s="7"/>
    </row>
    <row r="86" spans="1:11">
      <c r="A86" s="4">
        <v>641</v>
      </c>
      <c r="B86" s="18" t="s">
        <v>104</v>
      </c>
      <c r="C86" s="2">
        <v>1300</v>
      </c>
      <c r="D86" s="3">
        <v>127</v>
      </c>
      <c r="E86" s="4">
        <f t="shared" si="1"/>
        <v>1427</v>
      </c>
      <c r="F86" s="3">
        <v>388</v>
      </c>
      <c r="G86" s="5" t="s">
        <v>68</v>
      </c>
      <c r="H86" s="4"/>
      <c r="I86" s="2"/>
      <c r="J86" s="3"/>
      <c r="K86" s="7"/>
    </row>
    <row r="87" spans="1:11">
      <c r="A87" s="4">
        <v>642</v>
      </c>
      <c r="B87" s="18" t="s">
        <v>105</v>
      </c>
      <c r="C87" s="2">
        <v>2913</v>
      </c>
      <c r="D87" s="3">
        <v>0</v>
      </c>
      <c r="E87" s="4">
        <f t="shared" si="1"/>
        <v>2913</v>
      </c>
      <c r="F87" s="3">
        <v>776</v>
      </c>
      <c r="G87" s="5" t="s">
        <v>66</v>
      </c>
      <c r="H87" s="4"/>
      <c r="I87" s="2"/>
      <c r="J87" s="3"/>
      <c r="K87" s="7"/>
    </row>
    <row r="88" spans="1:11">
      <c r="A88" s="4">
        <v>643</v>
      </c>
      <c r="B88" s="18" t="s">
        <v>106</v>
      </c>
      <c r="C88" s="2">
        <v>1500</v>
      </c>
      <c r="D88" s="3">
        <v>101</v>
      </c>
      <c r="E88" s="4">
        <f t="shared" si="1"/>
        <v>1601</v>
      </c>
      <c r="F88" s="3">
        <v>388</v>
      </c>
      <c r="G88" s="5" t="s">
        <v>68</v>
      </c>
      <c r="H88" s="4"/>
      <c r="I88" s="2"/>
      <c r="J88" s="3"/>
      <c r="K88" s="7"/>
    </row>
    <row r="89" spans="1:11">
      <c r="A89" s="4">
        <v>644</v>
      </c>
      <c r="B89" s="18" t="s">
        <v>107</v>
      </c>
      <c r="C89" s="2">
        <v>971</v>
      </c>
      <c r="D89" s="3">
        <v>414.7</v>
      </c>
      <c r="E89" s="4">
        <f t="shared" si="1"/>
        <v>1385.7</v>
      </c>
      <c r="F89" s="3"/>
      <c r="G89" s="5"/>
      <c r="H89" s="4"/>
      <c r="I89" s="2"/>
      <c r="J89" s="3"/>
      <c r="K89" s="7"/>
    </row>
    <row r="90" spans="1:11">
      <c r="A90" s="4">
        <v>645</v>
      </c>
      <c r="B90" s="18" t="s">
        <v>108</v>
      </c>
      <c r="C90" s="2">
        <v>2329</v>
      </c>
      <c r="D90" s="3">
        <v>0</v>
      </c>
      <c r="E90" s="4">
        <f t="shared" si="1"/>
        <v>2329</v>
      </c>
      <c r="F90" s="3"/>
      <c r="G90" s="5"/>
      <c r="H90" s="4"/>
      <c r="I90" s="2"/>
      <c r="J90" s="3"/>
      <c r="K90" s="7"/>
    </row>
    <row r="91" spans="1:11">
      <c r="A91" s="4">
        <v>646</v>
      </c>
      <c r="B91" s="18" t="s">
        <v>109</v>
      </c>
      <c r="C91" s="2">
        <v>906</v>
      </c>
      <c r="D91" s="3">
        <v>414.7</v>
      </c>
      <c r="E91" s="4">
        <f t="shared" si="1"/>
        <v>1320.7</v>
      </c>
      <c r="F91" s="3"/>
      <c r="G91" s="5"/>
      <c r="H91" s="4"/>
      <c r="I91" s="2"/>
      <c r="J91" s="3"/>
      <c r="K91" s="7"/>
    </row>
    <row r="92" spans="1:11">
      <c r="A92" s="4">
        <v>647</v>
      </c>
      <c r="B92" s="18" t="s">
        <v>110</v>
      </c>
      <c r="C92" s="2">
        <v>1830</v>
      </c>
      <c r="D92" s="3">
        <v>58</v>
      </c>
      <c r="E92" s="4">
        <f t="shared" si="1"/>
        <v>1888</v>
      </c>
      <c r="F92" s="3"/>
      <c r="G92" s="5"/>
      <c r="H92" s="4"/>
      <c r="I92" s="2"/>
      <c r="J92" s="3"/>
      <c r="K92" s="7"/>
    </row>
    <row r="93" spans="1:11">
      <c r="A93" s="4">
        <v>648</v>
      </c>
      <c r="B93" s="18" t="s">
        <v>111</v>
      </c>
      <c r="C93" s="2">
        <v>2000</v>
      </c>
      <c r="D93" s="3">
        <v>36</v>
      </c>
      <c r="E93" s="4">
        <f t="shared" si="1"/>
        <v>2036</v>
      </c>
      <c r="F93" s="3">
        <v>518</v>
      </c>
      <c r="G93" s="5" t="s">
        <v>82</v>
      </c>
      <c r="H93" s="4"/>
      <c r="I93" s="2"/>
      <c r="J93" s="3"/>
      <c r="K93" s="7"/>
    </row>
    <row r="94" spans="1:11">
      <c r="A94" s="4">
        <v>649</v>
      </c>
      <c r="B94" s="18" t="s">
        <v>112</v>
      </c>
      <c r="C94" s="2">
        <v>971</v>
      </c>
      <c r="D94" s="3">
        <v>414.7</v>
      </c>
      <c r="E94" s="4">
        <f t="shared" si="1"/>
        <v>1385.7</v>
      </c>
      <c r="F94" s="3"/>
      <c r="G94" s="5"/>
      <c r="H94" s="4"/>
      <c r="I94" s="2"/>
      <c r="J94" s="3"/>
      <c r="K94" s="7"/>
    </row>
    <row r="95" spans="1:11">
      <c r="A95" s="4">
        <v>650</v>
      </c>
      <c r="B95" s="18" t="s">
        <v>113</v>
      </c>
      <c r="C95" s="2">
        <v>1740</v>
      </c>
      <c r="D95" s="3">
        <v>75</v>
      </c>
      <c r="E95" s="4">
        <f t="shared" si="1"/>
        <v>1815</v>
      </c>
      <c r="F95" s="3"/>
      <c r="G95" s="5"/>
      <c r="H95" s="4"/>
      <c r="I95" s="2">
        <v>750</v>
      </c>
      <c r="J95" s="3"/>
      <c r="K95" s="7"/>
    </row>
    <row r="96" spans="1:11">
      <c r="A96" s="4">
        <v>651</v>
      </c>
      <c r="B96" s="18" t="s">
        <v>114</v>
      </c>
      <c r="C96" s="2">
        <v>971</v>
      </c>
      <c r="D96" s="3">
        <v>414.7</v>
      </c>
      <c r="E96" s="4">
        <f t="shared" si="1"/>
        <v>1385.7</v>
      </c>
      <c r="F96" s="3"/>
      <c r="G96" s="5"/>
      <c r="H96" s="4"/>
      <c r="I96" s="2"/>
      <c r="J96" s="3"/>
      <c r="K96" s="7"/>
    </row>
    <row r="97" spans="1:11">
      <c r="A97" s="4">
        <v>652</v>
      </c>
      <c r="B97" s="18" t="s">
        <v>115</v>
      </c>
      <c r="C97" s="2">
        <v>1250</v>
      </c>
      <c r="D97" s="3">
        <v>134</v>
      </c>
      <c r="E97" s="4">
        <f t="shared" si="1"/>
        <v>1384</v>
      </c>
      <c r="F97" s="3"/>
      <c r="G97" s="5"/>
      <c r="H97" s="4"/>
      <c r="I97" s="2">
        <v>496</v>
      </c>
      <c r="J97" s="3"/>
      <c r="K97" s="7"/>
    </row>
    <row r="98" spans="1:11">
      <c r="A98" s="4">
        <v>653</v>
      </c>
      <c r="B98" s="18" t="s">
        <v>116</v>
      </c>
      <c r="C98" s="2">
        <v>1400</v>
      </c>
      <c r="D98" s="3">
        <v>114</v>
      </c>
      <c r="E98" s="4">
        <f t="shared" si="1"/>
        <v>1514</v>
      </c>
      <c r="F98" s="3">
        <v>388</v>
      </c>
      <c r="G98" s="5" t="s">
        <v>68</v>
      </c>
      <c r="H98" s="4"/>
      <c r="I98" s="2">
        <v>100</v>
      </c>
      <c r="J98" s="3"/>
      <c r="K98" s="7"/>
    </row>
    <row r="99" spans="1:11">
      <c r="A99" s="4">
        <v>654</v>
      </c>
      <c r="B99" s="18" t="s">
        <v>117</v>
      </c>
      <c r="C99" s="2">
        <v>1690</v>
      </c>
      <c r="D99" s="3">
        <v>76</v>
      </c>
      <c r="E99" s="4">
        <f t="shared" si="1"/>
        <v>1766</v>
      </c>
      <c r="F99" s="3">
        <v>453</v>
      </c>
      <c r="G99" s="5" t="s">
        <v>79</v>
      </c>
      <c r="H99" s="4"/>
      <c r="I99" s="2">
        <v>300</v>
      </c>
      <c r="J99" s="3"/>
      <c r="K99" s="7"/>
    </row>
    <row r="100" spans="1:11">
      <c r="A100" s="4">
        <v>655</v>
      </c>
      <c r="B100" s="18" t="s">
        <v>118</v>
      </c>
      <c r="C100" s="2">
        <v>1550</v>
      </c>
      <c r="D100" s="3">
        <v>94</v>
      </c>
      <c r="E100" s="4">
        <f t="shared" si="1"/>
        <v>1644</v>
      </c>
      <c r="F100" s="3">
        <v>388</v>
      </c>
      <c r="G100" s="5" t="s">
        <v>68</v>
      </c>
      <c r="H100" s="4"/>
      <c r="I100" s="2">
        <v>200</v>
      </c>
      <c r="J100" s="3"/>
      <c r="K100" s="7"/>
    </row>
    <row r="101" spans="1:11">
      <c r="A101" s="4">
        <v>656</v>
      </c>
      <c r="B101" s="18" t="s">
        <v>119</v>
      </c>
      <c r="C101" s="2">
        <v>971</v>
      </c>
      <c r="D101" s="3">
        <v>414.7</v>
      </c>
      <c r="E101" s="4">
        <f t="shared" si="1"/>
        <v>1385.7</v>
      </c>
      <c r="F101" s="3"/>
      <c r="G101" s="5"/>
      <c r="H101" s="4"/>
      <c r="I101" s="2"/>
      <c r="J101" s="3"/>
      <c r="K101" s="7"/>
    </row>
    <row r="102" spans="1:11">
      <c r="A102" s="4">
        <v>658</v>
      </c>
      <c r="B102" s="18" t="s">
        <v>120</v>
      </c>
      <c r="C102" s="2">
        <v>1300</v>
      </c>
      <c r="D102" s="3">
        <v>127</v>
      </c>
      <c r="E102" s="4">
        <f t="shared" si="1"/>
        <v>1427</v>
      </c>
      <c r="F102" s="3">
        <v>388</v>
      </c>
      <c r="G102" s="5" t="s">
        <v>68</v>
      </c>
      <c r="H102" s="4"/>
      <c r="I102" s="2"/>
      <c r="J102" s="3"/>
      <c r="K102" s="7"/>
    </row>
    <row r="103" spans="1:11">
      <c r="A103" s="4">
        <v>659</v>
      </c>
      <c r="B103" s="18" t="s">
        <v>121</v>
      </c>
      <c r="C103" s="2">
        <v>1340</v>
      </c>
      <c r="D103" s="3">
        <v>122</v>
      </c>
      <c r="E103" s="4">
        <f t="shared" si="1"/>
        <v>1462</v>
      </c>
      <c r="F103" s="3"/>
      <c r="G103" s="5"/>
      <c r="H103" s="4"/>
      <c r="I103" s="2"/>
      <c r="J103" s="3"/>
      <c r="K103" s="7"/>
    </row>
    <row r="104" spans="1:11">
      <c r="A104" s="4">
        <v>667</v>
      </c>
      <c r="B104" s="18" t="s">
        <v>122</v>
      </c>
      <c r="C104" s="2">
        <v>2000</v>
      </c>
      <c r="D104" s="3">
        <v>36</v>
      </c>
      <c r="E104" s="4">
        <f t="shared" si="1"/>
        <v>2036</v>
      </c>
      <c r="F104" s="3">
        <v>647</v>
      </c>
      <c r="G104" s="5" t="s">
        <v>74</v>
      </c>
      <c r="H104" s="4"/>
      <c r="I104" s="2">
        <v>830</v>
      </c>
      <c r="J104" s="3"/>
      <c r="K104" s="7"/>
    </row>
    <row r="105" spans="1:11">
      <c r="A105" s="4">
        <v>668</v>
      </c>
      <c r="B105" s="18" t="s">
        <v>123</v>
      </c>
      <c r="C105" s="2">
        <v>1840</v>
      </c>
      <c r="D105" s="3">
        <v>57</v>
      </c>
      <c r="E105" s="4">
        <f t="shared" si="1"/>
        <v>1897</v>
      </c>
      <c r="F105" s="3">
        <v>582</v>
      </c>
      <c r="G105" s="5" t="s">
        <v>77</v>
      </c>
      <c r="H105" s="4"/>
      <c r="I105" s="2">
        <v>830</v>
      </c>
      <c r="J105" s="3"/>
      <c r="K105" s="7"/>
    </row>
    <row r="106" spans="1:11">
      <c r="A106" s="4">
        <v>669</v>
      </c>
      <c r="B106" s="18" t="s">
        <v>124</v>
      </c>
      <c r="C106" s="2">
        <v>1680</v>
      </c>
      <c r="D106" s="3">
        <v>77</v>
      </c>
      <c r="E106" s="4">
        <f t="shared" si="1"/>
        <v>1757</v>
      </c>
      <c r="F106" s="3" t="s">
        <v>79</v>
      </c>
      <c r="G106" s="5" t="s">
        <v>79</v>
      </c>
      <c r="H106" s="4"/>
      <c r="I106" s="2">
        <v>830</v>
      </c>
      <c r="J106" s="3"/>
      <c r="K106" s="7"/>
    </row>
    <row r="107" spans="1:11">
      <c r="A107" s="4">
        <v>670</v>
      </c>
      <c r="B107" s="18" t="s">
        <v>125</v>
      </c>
      <c r="C107" s="2">
        <v>1740</v>
      </c>
      <c r="D107" s="3">
        <v>75</v>
      </c>
      <c r="E107" s="4">
        <f t="shared" si="1"/>
        <v>1815</v>
      </c>
      <c r="F107" s="3" t="s">
        <v>82</v>
      </c>
      <c r="G107" s="5" t="s">
        <v>82</v>
      </c>
      <c r="H107" s="4"/>
      <c r="I107" s="2">
        <v>750</v>
      </c>
      <c r="J107" s="3"/>
      <c r="K107" s="7"/>
    </row>
    <row r="108" spans="1:11">
      <c r="A108" s="4">
        <v>671</v>
      </c>
      <c r="B108" s="18" t="s">
        <v>126</v>
      </c>
      <c r="C108" s="2">
        <v>1610</v>
      </c>
      <c r="D108" s="3">
        <v>87</v>
      </c>
      <c r="E108" s="4">
        <f t="shared" si="1"/>
        <v>1697</v>
      </c>
      <c r="F108" s="3" t="s">
        <v>68</v>
      </c>
      <c r="G108" s="5" t="s">
        <v>68</v>
      </c>
      <c r="H108" s="4"/>
      <c r="I108" s="2">
        <v>750</v>
      </c>
      <c r="J108" s="3"/>
      <c r="K108" s="7"/>
    </row>
    <row r="109" spans="1:11">
      <c r="A109" s="4">
        <v>675</v>
      </c>
      <c r="B109" s="18" t="s">
        <v>127</v>
      </c>
      <c r="C109" s="2">
        <v>1740</v>
      </c>
      <c r="D109" s="3">
        <v>75</v>
      </c>
      <c r="E109" s="4">
        <f t="shared" si="1"/>
        <v>1815</v>
      </c>
      <c r="F109" s="3">
        <v>517</v>
      </c>
      <c r="G109" s="5" t="s">
        <v>128</v>
      </c>
      <c r="H109" s="4"/>
      <c r="I109" s="2">
        <v>725</v>
      </c>
      <c r="J109" s="3"/>
      <c r="K109" s="7"/>
    </row>
    <row r="110" spans="1:11">
      <c r="A110" s="4">
        <v>676</v>
      </c>
      <c r="B110" s="18" t="s">
        <v>129</v>
      </c>
      <c r="C110" s="2">
        <v>1610</v>
      </c>
      <c r="D110" s="3">
        <v>87</v>
      </c>
      <c r="E110" s="4">
        <f t="shared" si="1"/>
        <v>1697</v>
      </c>
      <c r="F110" s="3">
        <v>388</v>
      </c>
      <c r="G110" s="5" t="s">
        <v>68</v>
      </c>
      <c r="H110" s="4"/>
      <c r="I110" s="2">
        <v>725</v>
      </c>
      <c r="J110" s="3"/>
      <c r="K110" s="7"/>
    </row>
    <row r="111" spans="1:11">
      <c r="A111" s="4">
        <v>677</v>
      </c>
      <c r="B111" s="18" t="s">
        <v>130</v>
      </c>
      <c r="C111" s="2">
        <v>1500</v>
      </c>
      <c r="D111" s="3">
        <v>101</v>
      </c>
      <c r="E111" s="4">
        <f t="shared" si="1"/>
        <v>1601</v>
      </c>
      <c r="F111" s="3">
        <v>388</v>
      </c>
      <c r="G111" s="5" t="s">
        <v>68</v>
      </c>
      <c r="H111" s="4"/>
      <c r="I111" s="2">
        <v>725</v>
      </c>
      <c r="J111" s="3"/>
      <c r="K111" s="7"/>
    </row>
    <row r="112" spans="1:11">
      <c r="A112" s="4">
        <v>678</v>
      </c>
      <c r="B112" s="18" t="s">
        <v>131</v>
      </c>
      <c r="C112" s="2">
        <v>1320</v>
      </c>
      <c r="D112" s="3">
        <v>124</v>
      </c>
      <c r="E112" s="4">
        <f t="shared" si="1"/>
        <v>1444</v>
      </c>
      <c r="F112" s="3"/>
      <c r="G112" s="5"/>
      <c r="H112" s="4"/>
      <c r="I112" s="2">
        <v>590</v>
      </c>
      <c r="J112" s="3"/>
      <c r="K112" s="7"/>
    </row>
    <row r="113" spans="1:11">
      <c r="A113" s="4">
        <v>679</v>
      </c>
      <c r="B113" s="18" t="s">
        <v>132</v>
      </c>
      <c r="C113" s="2">
        <v>1690</v>
      </c>
      <c r="D113" s="3">
        <v>76</v>
      </c>
      <c r="E113" s="4">
        <f t="shared" si="1"/>
        <v>1766</v>
      </c>
      <c r="F113" s="3"/>
      <c r="G113" s="5"/>
      <c r="H113" s="4"/>
      <c r="I113" s="2">
        <v>708</v>
      </c>
      <c r="J113" s="3"/>
      <c r="K113" s="7"/>
    </row>
    <row r="114" spans="1:11">
      <c r="A114" s="4">
        <v>684</v>
      </c>
      <c r="B114" s="18" t="s">
        <v>133</v>
      </c>
      <c r="C114" s="2">
        <v>1170</v>
      </c>
      <c r="D114" s="3">
        <v>144</v>
      </c>
      <c r="E114" s="4">
        <f t="shared" si="1"/>
        <v>1314</v>
      </c>
      <c r="F114" s="3"/>
      <c r="G114" s="5"/>
      <c r="H114" s="4"/>
      <c r="I114" s="2">
        <v>580</v>
      </c>
      <c r="J114" s="3"/>
      <c r="K114" s="7"/>
    </row>
    <row r="115" spans="1:11">
      <c r="A115" s="4">
        <v>686</v>
      </c>
      <c r="B115" s="18" t="s">
        <v>134</v>
      </c>
      <c r="C115" s="2">
        <v>2000</v>
      </c>
      <c r="D115" s="3">
        <v>36</v>
      </c>
      <c r="E115" s="4">
        <f t="shared" si="1"/>
        <v>2036</v>
      </c>
      <c r="F115" s="3">
        <v>647</v>
      </c>
      <c r="G115" s="5" t="s">
        <v>74</v>
      </c>
      <c r="H115" s="4"/>
      <c r="I115" s="2">
        <v>830</v>
      </c>
      <c r="J115" s="3"/>
      <c r="K115" s="7"/>
    </row>
    <row r="116" spans="1:11">
      <c r="A116" s="4">
        <v>687</v>
      </c>
      <c r="B116" s="18" t="s">
        <v>135</v>
      </c>
      <c r="C116" s="2">
        <v>1840</v>
      </c>
      <c r="D116" s="3">
        <v>57</v>
      </c>
      <c r="E116" s="4">
        <f t="shared" si="1"/>
        <v>1897</v>
      </c>
      <c r="F116" s="3">
        <v>582</v>
      </c>
      <c r="G116" s="5" t="s">
        <v>77</v>
      </c>
      <c r="H116" s="4"/>
      <c r="I116" s="2">
        <v>600</v>
      </c>
      <c r="J116" s="3"/>
      <c r="K116" s="7"/>
    </row>
    <row r="117" spans="1:11">
      <c r="A117" s="4">
        <v>688</v>
      </c>
      <c r="B117" s="18" t="s">
        <v>136</v>
      </c>
      <c r="C117" s="2">
        <v>1680</v>
      </c>
      <c r="D117" s="3">
        <v>77</v>
      </c>
      <c r="E117" s="4">
        <f t="shared" si="1"/>
        <v>1757</v>
      </c>
      <c r="F117" s="3" t="s">
        <v>79</v>
      </c>
      <c r="G117" s="5" t="s">
        <v>79</v>
      </c>
      <c r="H117" s="4"/>
      <c r="I117" s="2">
        <v>830</v>
      </c>
      <c r="J117" s="3"/>
      <c r="K117" s="7"/>
    </row>
    <row r="118" spans="1:11">
      <c r="A118" s="4">
        <v>691</v>
      </c>
      <c r="B118" s="18" t="s">
        <v>137</v>
      </c>
      <c r="C118" s="2">
        <v>1500</v>
      </c>
      <c r="D118" s="3">
        <v>101</v>
      </c>
      <c r="E118" s="4">
        <f t="shared" si="1"/>
        <v>1601</v>
      </c>
      <c r="F118" s="3"/>
      <c r="G118" s="5"/>
      <c r="H118" s="4"/>
      <c r="I118" s="2">
        <v>750</v>
      </c>
      <c r="J118" s="3"/>
      <c r="K118" s="7"/>
    </row>
    <row r="119" spans="1:11">
      <c r="A119" s="4">
        <v>692</v>
      </c>
      <c r="B119" s="18" t="s">
        <v>138</v>
      </c>
      <c r="C119" s="2">
        <v>1680</v>
      </c>
      <c r="D119" s="3">
        <v>77</v>
      </c>
      <c r="E119" s="4">
        <f t="shared" si="1"/>
        <v>1757</v>
      </c>
      <c r="F119" s="3" t="s">
        <v>79</v>
      </c>
      <c r="G119" s="5" t="s">
        <v>79</v>
      </c>
      <c r="H119" s="4"/>
      <c r="I119" s="2"/>
      <c r="J119" s="3"/>
      <c r="K119" s="7"/>
    </row>
    <row r="120" spans="1:11">
      <c r="A120" s="4">
        <v>693</v>
      </c>
      <c r="B120" s="18" t="s">
        <v>139</v>
      </c>
      <c r="C120" s="2">
        <v>1500</v>
      </c>
      <c r="D120" s="3">
        <v>101</v>
      </c>
      <c r="E120" s="4">
        <f t="shared" si="1"/>
        <v>1601</v>
      </c>
      <c r="F120" s="3" t="s">
        <v>79</v>
      </c>
      <c r="G120" s="5" t="s">
        <v>79</v>
      </c>
      <c r="H120" s="4"/>
      <c r="I120" s="2"/>
      <c r="J120" s="3"/>
      <c r="K120" s="7"/>
    </row>
    <row r="121" spans="1:11">
      <c r="A121" s="4">
        <v>694</v>
      </c>
      <c r="B121" s="18" t="s">
        <v>140</v>
      </c>
      <c r="C121" s="2">
        <v>1300</v>
      </c>
      <c r="D121" s="3">
        <v>127</v>
      </c>
      <c r="E121" s="4">
        <f t="shared" si="1"/>
        <v>1427</v>
      </c>
      <c r="F121" s="3" t="s">
        <v>79</v>
      </c>
      <c r="G121" s="5" t="s">
        <v>79</v>
      </c>
      <c r="H121" s="4"/>
      <c r="I121" s="2"/>
      <c r="J121" s="3"/>
      <c r="K121" s="7"/>
    </row>
    <row r="122" spans="1:11">
      <c r="A122" s="4">
        <v>696</v>
      </c>
      <c r="B122" s="18" t="s">
        <v>141</v>
      </c>
      <c r="C122" s="2">
        <v>1500</v>
      </c>
      <c r="D122" s="3">
        <v>101</v>
      </c>
      <c r="E122" s="4">
        <f t="shared" si="1"/>
        <v>1601</v>
      </c>
      <c r="F122" s="3" t="s">
        <v>79</v>
      </c>
      <c r="G122" s="5" t="s">
        <v>79</v>
      </c>
      <c r="H122" s="4"/>
      <c r="I122" s="2"/>
      <c r="J122" s="3"/>
      <c r="K122" s="7"/>
    </row>
    <row r="123" spans="1:11">
      <c r="A123" s="4">
        <v>702</v>
      </c>
      <c r="B123" s="18" t="s">
        <v>142</v>
      </c>
      <c r="C123" s="2">
        <v>1400</v>
      </c>
      <c r="D123" s="3">
        <v>114</v>
      </c>
      <c r="E123" s="4">
        <f t="shared" si="1"/>
        <v>1514</v>
      </c>
      <c r="F123" s="3">
        <v>310</v>
      </c>
      <c r="G123" s="5" t="s">
        <v>68</v>
      </c>
      <c r="H123" s="4">
        <v>17</v>
      </c>
      <c r="I123" s="2"/>
      <c r="J123" s="3"/>
      <c r="K123" s="7"/>
    </row>
    <row r="124" spans="1:11">
      <c r="A124" s="4">
        <v>703</v>
      </c>
      <c r="B124" s="18" t="s">
        <v>143</v>
      </c>
      <c r="C124" s="2">
        <v>1400</v>
      </c>
      <c r="D124" s="3">
        <v>114</v>
      </c>
      <c r="E124" s="4">
        <f t="shared" si="1"/>
        <v>1514</v>
      </c>
      <c r="F124" s="3">
        <v>310</v>
      </c>
      <c r="G124" s="5" t="s">
        <v>68</v>
      </c>
      <c r="H124" s="4">
        <v>17</v>
      </c>
      <c r="I124" s="2">
        <v>211</v>
      </c>
      <c r="J124" s="3"/>
      <c r="K124" s="7"/>
    </row>
    <row r="125" spans="1:11">
      <c r="A125" s="4">
        <v>704</v>
      </c>
      <c r="B125" s="18" t="s">
        <v>144</v>
      </c>
      <c r="C125" s="2">
        <v>1300</v>
      </c>
      <c r="D125" s="3">
        <v>127</v>
      </c>
      <c r="E125" s="4">
        <f t="shared" si="1"/>
        <v>1427</v>
      </c>
      <c r="F125" s="3">
        <v>310</v>
      </c>
      <c r="G125" s="5" t="s">
        <v>68</v>
      </c>
      <c r="H125" s="4">
        <v>17</v>
      </c>
      <c r="I125" s="2"/>
      <c r="J125" s="3"/>
      <c r="K125" s="7"/>
    </row>
    <row r="126" spans="1:11">
      <c r="A126" s="4">
        <v>705</v>
      </c>
      <c r="B126" s="18" t="s">
        <v>145</v>
      </c>
      <c r="C126" s="2">
        <v>1300</v>
      </c>
      <c r="D126" s="3">
        <v>127</v>
      </c>
      <c r="E126" s="4">
        <f t="shared" si="1"/>
        <v>1427</v>
      </c>
      <c r="F126" s="3">
        <v>310</v>
      </c>
      <c r="G126" s="5" t="s">
        <v>68</v>
      </c>
      <c r="H126" s="4">
        <v>17</v>
      </c>
      <c r="I126" s="2">
        <v>211</v>
      </c>
      <c r="J126" s="3"/>
      <c r="K126" s="7"/>
    </row>
    <row r="127" spans="1:11">
      <c r="A127" s="4">
        <v>706</v>
      </c>
      <c r="B127" s="18" t="s">
        <v>146</v>
      </c>
      <c r="C127" s="2">
        <v>1250</v>
      </c>
      <c r="D127" s="3">
        <v>134</v>
      </c>
      <c r="E127" s="4">
        <f t="shared" si="1"/>
        <v>1384</v>
      </c>
      <c r="F127" s="3">
        <v>310</v>
      </c>
      <c r="G127" s="5" t="s">
        <v>68</v>
      </c>
      <c r="H127" s="4">
        <v>17</v>
      </c>
      <c r="I127" s="2"/>
      <c r="J127" s="3"/>
      <c r="K127" s="7"/>
    </row>
    <row r="128" spans="1:11">
      <c r="A128" s="4">
        <v>707</v>
      </c>
      <c r="B128" s="18" t="s">
        <v>147</v>
      </c>
      <c r="C128" s="2">
        <v>2913</v>
      </c>
      <c r="D128" s="3">
        <v>0</v>
      </c>
      <c r="E128" s="4">
        <f t="shared" si="1"/>
        <v>2913</v>
      </c>
      <c r="F128" s="3">
        <v>776</v>
      </c>
      <c r="G128" s="5" t="s">
        <v>66</v>
      </c>
      <c r="H128" s="4"/>
      <c r="I128" s="2"/>
      <c r="J128" s="3"/>
      <c r="K128" s="7"/>
    </row>
    <row r="129" spans="1:11">
      <c r="A129" s="4">
        <v>708</v>
      </c>
      <c r="B129" s="18" t="s">
        <v>148</v>
      </c>
      <c r="C129" s="2">
        <v>3146</v>
      </c>
      <c r="D129" s="3">
        <v>0</v>
      </c>
      <c r="E129" s="4">
        <f t="shared" si="1"/>
        <v>3146</v>
      </c>
      <c r="F129" s="3">
        <v>776</v>
      </c>
      <c r="G129" s="5" t="s">
        <v>66</v>
      </c>
      <c r="H129" s="4"/>
      <c r="I129" s="2"/>
      <c r="J129" s="3"/>
      <c r="K129" s="7"/>
    </row>
    <row r="130" spans="1:11">
      <c r="A130" s="4">
        <v>709</v>
      </c>
      <c r="B130" s="18" t="s">
        <v>149</v>
      </c>
      <c r="C130" s="2">
        <v>2913</v>
      </c>
      <c r="D130" s="3">
        <v>0</v>
      </c>
      <c r="E130" s="4">
        <f t="shared" si="1"/>
        <v>2913</v>
      </c>
      <c r="F130" s="3">
        <v>776</v>
      </c>
      <c r="G130" s="5" t="s">
        <v>66</v>
      </c>
      <c r="H130" s="4"/>
      <c r="I130" s="2"/>
      <c r="J130" s="3"/>
      <c r="K130" s="7"/>
    </row>
    <row r="131" spans="1:11">
      <c r="A131" s="4">
        <v>710</v>
      </c>
      <c r="B131" s="18" t="s">
        <v>150</v>
      </c>
      <c r="C131" s="2">
        <v>2913</v>
      </c>
      <c r="D131" s="3">
        <v>0</v>
      </c>
      <c r="E131" s="4">
        <f t="shared" ref="E131:E171" si="2">C131+D131</f>
        <v>2913</v>
      </c>
      <c r="F131" s="3">
        <v>776</v>
      </c>
      <c r="G131" s="5" t="s">
        <v>66</v>
      </c>
      <c r="H131" s="4">
        <v>20</v>
      </c>
      <c r="I131" s="2"/>
      <c r="J131" s="3"/>
      <c r="K131" s="7"/>
    </row>
    <row r="132" spans="1:11">
      <c r="A132" s="4">
        <v>711</v>
      </c>
      <c r="B132" s="18" t="s">
        <v>151</v>
      </c>
      <c r="C132" s="2">
        <v>2913</v>
      </c>
      <c r="D132" s="3">
        <v>0</v>
      </c>
      <c r="E132" s="4">
        <f t="shared" si="2"/>
        <v>2913</v>
      </c>
      <c r="F132" s="3">
        <v>776</v>
      </c>
      <c r="G132" s="5" t="s">
        <v>66</v>
      </c>
      <c r="H132" s="4"/>
      <c r="I132" s="2"/>
      <c r="J132" s="3"/>
      <c r="K132" s="7"/>
    </row>
    <row r="133" spans="1:11">
      <c r="A133" s="4">
        <v>712</v>
      </c>
      <c r="B133" s="18" t="s">
        <v>152</v>
      </c>
      <c r="C133" s="2">
        <v>2913</v>
      </c>
      <c r="D133" s="3">
        <v>0</v>
      </c>
      <c r="E133" s="4">
        <f t="shared" si="2"/>
        <v>2913</v>
      </c>
      <c r="F133" s="3">
        <v>776</v>
      </c>
      <c r="G133" s="5" t="s">
        <v>66</v>
      </c>
      <c r="H133" s="4"/>
      <c r="I133" s="2"/>
      <c r="J133" s="3"/>
      <c r="K133" s="7"/>
    </row>
    <row r="134" spans="1:11">
      <c r="A134" s="4">
        <v>713</v>
      </c>
      <c r="B134" s="18" t="s">
        <v>153</v>
      </c>
      <c r="C134" s="2">
        <v>2913</v>
      </c>
      <c r="D134" s="3">
        <v>0</v>
      </c>
      <c r="E134" s="4">
        <f t="shared" si="2"/>
        <v>2913</v>
      </c>
      <c r="F134" s="3">
        <v>776</v>
      </c>
      <c r="G134" s="5" t="s">
        <v>66</v>
      </c>
      <c r="H134" s="4"/>
      <c r="I134" s="2"/>
      <c r="J134" s="3"/>
      <c r="K134" s="7"/>
    </row>
    <row r="135" spans="1:11">
      <c r="A135" s="4">
        <v>714</v>
      </c>
      <c r="B135" s="18" t="s">
        <v>154</v>
      </c>
      <c r="C135" s="2">
        <v>2913</v>
      </c>
      <c r="D135" s="3">
        <v>0</v>
      </c>
      <c r="E135" s="4">
        <f t="shared" si="2"/>
        <v>2913</v>
      </c>
      <c r="F135" s="3"/>
      <c r="G135" s="5"/>
      <c r="H135" s="4"/>
      <c r="I135" s="2"/>
      <c r="J135" s="3"/>
      <c r="K135" s="7"/>
    </row>
    <row r="136" spans="1:11">
      <c r="A136" s="4">
        <v>716</v>
      </c>
      <c r="B136" s="18" t="s">
        <v>155</v>
      </c>
      <c r="C136" s="2">
        <v>1942</v>
      </c>
      <c r="D136" s="3">
        <v>43</v>
      </c>
      <c r="E136" s="4">
        <f t="shared" si="2"/>
        <v>1985</v>
      </c>
      <c r="F136" s="3">
        <v>517.29999999999995</v>
      </c>
      <c r="G136" s="5" t="s">
        <v>74</v>
      </c>
      <c r="H136" s="4"/>
      <c r="I136" s="2"/>
      <c r="J136" s="8">
        <v>782</v>
      </c>
      <c r="K136" s="9">
        <v>744</v>
      </c>
    </row>
    <row r="137" spans="1:11">
      <c r="A137" s="4">
        <v>717</v>
      </c>
      <c r="B137" s="18" t="s">
        <v>156</v>
      </c>
      <c r="C137" s="2">
        <v>2100</v>
      </c>
      <c r="D137" s="3">
        <v>23</v>
      </c>
      <c r="E137" s="4">
        <f t="shared" si="2"/>
        <v>2123</v>
      </c>
      <c r="F137" s="3">
        <v>517.29999999999995</v>
      </c>
      <c r="G137" s="5" t="s">
        <v>74</v>
      </c>
      <c r="H137" s="4">
        <v>150</v>
      </c>
      <c r="I137" s="2"/>
      <c r="J137" s="3"/>
      <c r="K137" s="7"/>
    </row>
    <row r="138" spans="1:11">
      <c r="A138" s="4">
        <v>718</v>
      </c>
      <c r="B138" s="18" t="s">
        <v>157</v>
      </c>
      <c r="C138" s="2">
        <v>1942</v>
      </c>
      <c r="D138" s="3">
        <v>43</v>
      </c>
      <c r="E138" s="4">
        <f t="shared" si="2"/>
        <v>1985</v>
      </c>
      <c r="F138" s="3">
        <v>517.29999999999995</v>
      </c>
      <c r="G138" s="5" t="s">
        <v>74</v>
      </c>
      <c r="H138" s="4">
        <v>17</v>
      </c>
      <c r="I138" s="2"/>
      <c r="J138" s="3"/>
      <c r="K138" s="7"/>
    </row>
    <row r="139" spans="1:11">
      <c r="A139" s="4">
        <v>719</v>
      </c>
      <c r="B139" s="18" t="s">
        <v>158</v>
      </c>
      <c r="C139" s="2">
        <v>1782</v>
      </c>
      <c r="D139" s="3">
        <v>64</v>
      </c>
      <c r="E139" s="4">
        <f t="shared" si="2"/>
        <v>1846</v>
      </c>
      <c r="F139" s="3">
        <v>465.3</v>
      </c>
      <c r="G139" s="5" t="s">
        <v>77</v>
      </c>
      <c r="H139" s="4"/>
      <c r="I139" s="2"/>
      <c r="J139" s="8">
        <v>782</v>
      </c>
      <c r="K139" s="9">
        <v>744</v>
      </c>
    </row>
    <row r="140" spans="1:11">
      <c r="A140" s="4">
        <v>720</v>
      </c>
      <c r="B140" s="18" t="s">
        <v>159</v>
      </c>
      <c r="C140" s="2">
        <v>1782</v>
      </c>
      <c r="D140" s="3">
        <v>64</v>
      </c>
      <c r="E140" s="4">
        <f t="shared" si="2"/>
        <v>1846</v>
      </c>
      <c r="F140" s="3">
        <v>465.3</v>
      </c>
      <c r="G140" s="5" t="s">
        <v>77</v>
      </c>
      <c r="H140" s="4">
        <v>17</v>
      </c>
      <c r="I140" s="2"/>
      <c r="J140" s="3"/>
      <c r="K140" s="7"/>
    </row>
    <row r="141" spans="1:11">
      <c r="A141" s="4">
        <v>721</v>
      </c>
      <c r="B141" s="18" t="s">
        <v>160</v>
      </c>
      <c r="C141" s="2">
        <v>1942</v>
      </c>
      <c r="D141" s="3">
        <v>43</v>
      </c>
      <c r="E141" s="4">
        <f t="shared" si="2"/>
        <v>1985</v>
      </c>
      <c r="F141" s="3">
        <v>517.29999999999995</v>
      </c>
      <c r="G141" s="5" t="s">
        <v>74</v>
      </c>
      <c r="H141" s="4">
        <v>150</v>
      </c>
      <c r="I141" s="2"/>
      <c r="J141" s="3"/>
      <c r="K141" s="7"/>
    </row>
    <row r="142" spans="1:11">
      <c r="A142" s="4">
        <v>722</v>
      </c>
      <c r="B142" s="18" t="s">
        <v>161</v>
      </c>
      <c r="C142" s="2">
        <v>1692</v>
      </c>
      <c r="D142" s="3">
        <v>76</v>
      </c>
      <c r="E142" s="4">
        <f t="shared" si="2"/>
        <v>1768</v>
      </c>
      <c r="F142" s="3">
        <v>362.7</v>
      </c>
      <c r="G142" s="5" t="s">
        <v>79</v>
      </c>
      <c r="H142" s="4"/>
      <c r="I142" s="2"/>
      <c r="J142" s="8">
        <v>744</v>
      </c>
      <c r="K142" s="9">
        <v>744</v>
      </c>
    </row>
    <row r="143" spans="1:11">
      <c r="A143" s="4">
        <v>723</v>
      </c>
      <c r="B143" s="18" t="s">
        <v>162</v>
      </c>
      <c r="C143" s="2">
        <v>1700</v>
      </c>
      <c r="D143" s="3">
        <v>75</v>
      </c>
      <c r="E143" s="4">
        <f t="shared" si="2"/>
        <v>1775</v>
      </c>
      <c r="F143" s="3">
        <v>310.7</v>
      </c>
      <c r="G143" s="5" t="s">
        <v>68</v>
      </c>
      <c r="H143" s="4"/>
      <c r="I143" s="2"/>
      <c r="J143" s="8">
        <v>769</v>
      </c>
      <c r="K143" s="9">
        <v>650</v>
      </c>
    </row>
    <row r="144" spans="1:11">
      <c r="A144" s="4">
        <v>724</v>
      </c>
      <c r="B144" s="18" t="s">
        <v>163</v>
      </c>
      <c r="C144" s="2">
        <v>971</v>
      </c>
      <c r="D144" s="3">
        <v>414.7</v>
      </c>
      <c r="E144" s="4">
        <f t="shared" si="2"/>
        <v>1385.7</v>
      </c>
      <c r="F144" s="3"/>
      <c r="G144" s="5"/>
      <c r="H144" s="4"/>
      <c r="I144" s="2">
        <v>620</v>
      </c>
      <c r="J144" s="3"/>
      <c r="K144" s="7"/>
    </row>
    <row r="145" spans="1:11">
      <c r="A145" s="4">
        <v>725</v>
      </c>
      <c r="B145" s="18" t="s">
        <v>164</v>
      </c>
      <c r="C145" s="2">
        <v>1592</v>
      </c>
      <c r="D145" s="3">
        <v>89</v>
      </c>
      <c r="E145" s="4">
        <f t="shared" si="2"/>
        <v>1681</v>
      </c>
      <c r="F145" s="3">
        <v>310.7</v>
      </c>
      <c r="G145" s="5" t="s">
        <v>68</v>
      </c>
      <c r="H145" s="4"/>
      <c r="I145" s="2"/>
      <c r="J145" s="8">
        <v>738</v>
      </c>
      <c r="K145" s="9">
        <v>744</v>
      </c>
    </row>
    <row r="146" spans="1:11">
      <c r="A146" s="4">
        <v>726</v>
      </c>
      <c r="B146" s="18" t="s">
        <v>165</v>
      </c>
      <c r="C146" s="2">
        <v>1500</v>
      </c>
      <c r="D146" s="3">
        <v>101</v>
      </c>
      <c r="E146" s="4">
        <f t="shared" si="2"/>
        <v>1601</v>
      </c>
      <c r="F146" s="3"/>
      <c r="G146" s="5"/>
      <c r="H146" s="4">
        <v>150</v>
      </c>
      <c r="I146" s="2"/>
      <c r="J146" s="3"/>
      <c r="K146" s="7"/>
    </row>
    <row r="147" spans="1:11">
      <c r="A147" s="4">
        <v>727</v>
      </c>
      <c r="B147" s="18" t="s">
        <v>166</v>
      </c>
      <c r="C147" s="2">
        <v>1600</v>
      </c>
      <c r="D147" s="3">
        <v>88</v>
      </c>
      <c r="E147" s="4">
        <f t="shared" si="2"/>
        <v>1688</v>
      </c>
      <c r="F147" s="3">
        <v>310.7</v>
      </c>
      <c r="G147" s="5" t="s">
        <v>68</v>
      </c>
      <c r="H147" s="4"/>
      <c r="I147" s="2"/>
      <c r="J147" s="8">
        <v>738</v>
      </c>
      <c r="K147" s="10">
        <v>650</v>
      </c>
    </row>
    <row r="148" spans="1:11">
      <c r="A148" s="4">
        <v>728</v>
      </c>
      <c r="B148" s="18" t="s">
        <v>167</v>
      </c>
      <c r="C148" s="2">
        <v>1942</v>
      </c>
      <c r="D148" s="3">
        <v>43</v>
      </c>
      <c r="E148" s="4">
        <f t="shared" si="2"/>
        <v>1985</v>
      </c>
      <c r="F148" s="3">
        <v>517.29999999999995</v>
      </c>
      <c r="G148" s="5" t="s">
        <v>74</v>
      </c>
      <c r="H148" s="4">
        <v>17</v>
      </c>
      <c r="I148" s="2"/>
      <c r="J148" s="3"/>
      <c r="K148" s="7"/>
    </row>
    <row r="149" spans="1:11">
      <c r="A149" s="4">
        <v>729</v>
      </c>
      <c r="B149" s="18" t="s">
        <v>168</v>
      </c>
      <c r="C149" s="2">
        <v>1692</v>
      </c>
      <c r="D149" s="3">
        <v>76</v>
      </c>
      <c r="E149" s="4">
        <f t="shared" si="2"/>
        <v>1768</v>
      </c>
      <c r="F149" s="3">
        <v>517.29999999999995</v>
      </c>
      <c r="G149" s="5" t="s">
        <v>74</v>
      </c>
      <c r="H149" s="4"/>
      <c r="I149" s="2"/>
      <c r="J149" s="3"/>
      <c r="K149" s="7"/>
    </row>
    <row r="150" spans="1:11">
      <c r="A150" s="4">
        <v>730</v>
      </c>
      <c r="B150" s="18" t="s">
        <v>169</v>
      </c>
      <c r="C150" s="2">
        <v>1700</v>
      </c>
      <c r="D150" s="3">
        <v>75</v>
      </c>
      <c r="E150" s="4">
        <f t="shared" si="2"/>
        <v>1775</v>
      </c>
      <c r="F150" s="3">
        <v>517.29999999999995</v>
      </c>
      <c r="G150" s="5" t="s">
        <v>74</v>
      </c>
      <c r="H150" s="4"/>
      <c r="I150" s="2"/>
      <c r="J150" s="3"/>
      <c r="K150" s="7"/>
    </row>
    <row r="151" spans="1:11">
      <c r="A151" s="4">
        <v>731</v>
      </c>
      <c r="B151" s="18" t="s">
        <v>170</v>
      </c>
      <c r="C151" s="2">
        <v>1592</v>
      </c>
      <c r="D151" s="3">
        <v>89</v>
      </c>
      <c r="E151" s="4">
        <f t="shared" si="2"/>
        <v>1681</v>
      </c>
      <c r="F151" s="3">
        <v>465.3</v>
      </c>
      <c r="G151" s="5" t="s">
        <v>77</v>
      </c>
      <c r="H151" s="4"/>
      <c r="I151" s="2"/>
      <c r="J151" s="3"/>
      <c r="K151" s="7"/>
    </row>
    <row r="152" spans="1:11">
      <c r="A152" s="4">
        <v>735</v>
      </c>
      <c r="B152" s="18" t="s">
        <v>171</v>
      </c>
      <c r="C152" s="2">
        <v>971</v>
      </c>
      <c r="D152" s="3">
        <v>414.7</v>
      </c>
      <c r="E152" s="4">
        <f t="shared" si="2"/>
        <v>1385.7</v>
      </c>
      <c r="F152" s="3"/>
      <c r="G152" s="5"/>
      <c r="H152" s="4">
        <v>150</v>
      </c>
      <c r="I152" s="2"/>
      <c r="J152" s="3"/>
      <c r="K152" s="7"/>
    </row>
    <row r="153" spans="1:11">
      <c r="A153" s="4">
        <v>736</v>
      </c>
      <c r="B153" s="18" t="s">
        <v>172</v>
      </c>
      <c r="C153" s="2">
        <v>1600</v>
      </c>
      <c r="D153" s="3">
        <v>88</v>
      </c>
      <c r="E153" s="4">
        <f t="shared" si="2"/>
        <v>1688</v>
      </c>
      <c r="F153" s="3">
        <v>517.29999999999995</v>
      </c>
      <c r="G153" s="5" t="s">
        <v>74</v>
      </c>
      <c r="H153" s="4"/>
      <c r="I153" s="2"/>
      <c r="J153" s="3"/>
      <c r="K153" s="7"/>
    </row>
    <row r="154" spans="1:11">
      <c r="A154" s="4">
        <v>738</v>
      </c>
      <c r="B154" s="18" t="s">
        <v>173</v>
      </c>
      <c r="C154" s="2">
        <v>971</v>
      </c>
      <c r="D154" s="3">
        <v>414.7</v>
      </c>
      <c r="E154" s="4">
        <f t="shared" si="2"/>
        <v>1385.7</v>
      </c>
      <c r="F154" s="3"/>
      <c r="G154" s="5"/>
      <c r="H154" s="4">
        <v>17</v>
      </c>
      <c r="I154" s="2"/>
      <c r="J154" s="3"/>
      <c r="K154" s="7"/>
    </row>
    <row r="155" spans="1:11">
      <c r="A155" s="4">
        <v>739</v>
      </c>
      <c r="B155" s="18" t="s">
        <v>174</v>
      </c>
      <c r="C155" s="2">
        <v>971</v>
      </c>
      <c r="D155" s="3">
        <v>414.7</v>
      </c>
      <c r="E155" s="4">
        <f t="shared" si="2"/>
        <v>1385.7</v>
      </c>
      <c r="F155" s="3"/>
      <c r="G155" s="5"/>
      <c r="H155" s="4">
        <v>150</v>
      </c>
      <c r="I155" s="2"/>
      <c r="J155" s="3"/>
      <c r="K155" s="7"/>
    </row>
    <row r="156" spans="1:11">
      <c r="A156" s="4">
        <v>741</v>
      </c>
      <c r="B156" s="18" t="s">
        <v>175</v>
      </c>
      <c r="C156" s="2">
        <v>1300</v>
      </c>
      <c r="D156" s="3">
        <v>127</v>
      </c>
      <c r="E156" s="4">
        <f t="shared" si="2"/>
        <v>1427</v>
      </c>
      <c r="F156" s="3">
        <v>310.7</v>
      </c>
      <c r="G156" s="5" t="s">
        <v>68</v>
      </c>
      <c r="H156" s="4"/>
      <c r="I156" s="2"/>
      <c r="J156" s="3"/>
      <c r="K156" s="9">
        <v>580</v>
      </c>
    </row>
    <row r="157" spans="1:11">
      <c r="A157" s="4">
        <v>742</v>
      </c>
      <c r="B157" s="18" t="s">
        <v>176</v>
      </c>
      <c r="C157" s="2">
        <v>971</v>
      </c>
      <c r="D157" s="3">
        <v>414.7</v>
      </c>
      <c r="E157" s="4">
        <f t="shared" si="2"/>
        <v>1385.7</v>
      </c>
      <c r="F157" s="3"/>
      <c r="G157" s="5"/>
      <c r="H157" s="4">
        <v>150</v>
      </c>
      <c r="I157" s="2"/>
      <c r="J157" s="3"/>
      <c r="K157" s="7"/>
    </row>
    <row r="158" spans="1:11">
      <c r="A158" s="4">
        <v>744</v>
      </c>
      <c r="B158" s="18" t="s">
        <v>177</v>
      </c>
      <c r="C158" s="2">
        <v>1400</v>
      </c>
      <c r="D158" s="3">
        <v>114</v>
      </c>
      <c r="E158" s="4">
        <f t="shared" si="2"/>
        <v>1514</v>
      </c>
      <c r="F158" s="3">
        <v>310.7</v>
      </c>
      <c r="G158" s="5" t="s">
        <v>68</v>
      </c>
      <c r="H158" s="4"/>
      <c r="I158" s="2"/>
      <c r="J158" s="3"/>
      <c r="K158" s="9">
        <v>580</v>
      </c>
    </row>
    <row r="159" spans="1:11">
      <c r="A159" s="4">
        <v>745</v>
      </c>
      <c r="B159" s="18" t="s">
        <v>178</v>
      </c>
      <c r="C159" s="2">
        <v>1450</v>
      </c>
      <c r="D159" s="3">
        <v>107</v>
      </c>
      <c r="E159" s="4">
        <f t="shared" si="2"/>
        <v>1557</v>
      </c>
      <c r="F159" s="3"/>
      <c r="G159" s="5"/>
      <c r="H159" s="4"/>
      <c r="I159" s="2"/>
      <c r="J159" s="3"/>
      <c r="K159" s="7"/>
    </row>
    <row r="160" spans="1:11">
      <c r="A160" s="4">
        <v>746</v>
      </c>
      <c r="B160" s="18" t="s">
        <v>179</v>
      </c>
      <c r="C160" s="2">
        <v>971</v>
      </c>
      <c r="D160" s="3">
        <v>414.7</v>
      </c>
      <c r="E160" s="4">
        <f t="shared" si="2"/>
        <v>1385.7</v>
      </c>
      <c r="F160" s="3"/>
      <c r="G160" s="5"/>
      <c r="H160" s="4"/>
      <c r="I160" s="2"/>
      <c r="J160" s="3"/>
      <c r="K160" s="7"/>
    </row>
    <row r="161" spans="1:11">
      <c r="A161" s="4">
        <v>747</v>
      </c>
      <c r="B161" s="18" t="s">
        <v>180</v>
      </c>
      <c r="C161" s="2">
        <v>971</v>
      </c>
      <c r="D161" s="3">
        <v>414.7</v>
      </c>
      <c r="E161" s="4">
        <f t="shared" si="2"/>
        <v>1385.7</v>
      </c>
      <c r="F161" s="3"/>
      <c r="G161" s="5"/>
      <c r="H161" s="4"/>
      <c r="I161" s="2"/>
      <c r="J161" s="3"/>
      <c r="K161" s="7"/>
    </row>
    <row r="162" spans="1:11">
      <c r="A162" s="4">
        <v>748</v>
      </c>
      <c r="B162" s="18" t="s">
        <v>181</v>
      </c>
      <c r="C162" s="2">
        <v>1250</v>
      </c>
      <c r="D162" s="3">
        <v>134</v>
      </c>
      <c r="E162" s="4">
        <f t="shared" si="2"/>
        <v>1384</v>
      </c>
      <c r="F162" s="3">
        <v>310.7</v>
      </c>
      <c r="G162" s="5" t="s">
        <v>68</v>
      </c>
      <c r="H162" s="4"/>
      <c r="I162" s="2"/>
      <c r="J162" s="3"/>
      <c r="K162" s="7"/>
    </row>
    <row r="163" spans="1:11">
      <c r="A163" s="4">
        <v>749</v>
      </c>
      <c r="B163" s="18" t="s">
        <v>182</v>
      </c>
      <c r="C163" s="2">
        <v>971</v>
      </c>
      <c r="D163" s="3">
        <v>414.7</v>
      </c>
      <c r="E163" s="4">
        <f t="shared" si="2"/>
        <v>1385.7</v>
      </c>
      <c r="F163" s="3"/>
      <c r="G163" s="5"/>
      <c r="H163" s="4"/>
      <c r="I163" s="2"/>
      <c r="J163" s="3"/>
      <c r="K163" s="9">
        <v>510</v>
      </c>
    </row>
    <row r="164" spans="1:11">
      <c r="A164" s="4">
        <v>750</v>
      </c>
      <c r="B164" s="18" t="s">
        <v>97</v>
      </c>
      <c r="C164" s="2">
        <v>971</v>
      </c>
      <c r="D164" s="3">
        <v>414.7</v>
      </c>
      <c r="E164" s="4">
        <f t="shared" si="2"/>
        <v>1385.7</v>
      </c>
      <c r="F164" s="3"/>
      <c r="G164" s="5"/>
      <c r="H164" s="4"/>
      <c r="I164" s="2"/>
      <c r="J164" s="3"/>
      <c r="K164" s="7"/>
    </row>
    <row r="165" spans="1:11">
      <c r="A165" s="4">
        <v>751</v>
      </c>
      <c r="B165" s="18" t="s">
        <v>183</v>
      </c>
      <c r="C165" s="2">
        <v>1400</v>
      </c>
      <c r="D165" s="3">
        <v>114</v>
      </c>
      <c r="E165" s="4">
        <f t="shared" si="2"/>
        <v>1514</v>
      </c>
      <c r="F165" s="3">
        <v>310.7</v>
      </c>
      <c r="G165" s="5">
        <v>388</v>
      </c>
      <c r="H165" s="4">
        <v>17</v>
      </c>
      <c r="I165" s="2"/>
      <c r="J165" s="3"/>
      <c r="K165" s="7"/>
    </row>
    <row r="166" spans="1:11">
      <c r="A166" s="4">
        <v>752</v>
      </c>
      <c r="B166" s="18" t="s">
        <v>184</v>
      </c>
      <c r="C166" s="2">
        <v>2913</v>
      </c>
      <c r="D166" s="3">
        <v>0</v>
      </c>
      <c r="E166" s="4">
        <f t="shared" si="2"/>
        <v>2913</v>
      </c>
      <c r="F166" s="3"/>
      <c r="G166" s="5"/>
      <c r="H166" s="4">
        <v>20</v>
      </c>
      <c r="I166" s="2"/>
      <c r="J166" s="3"/>
      <c r="K166" s="7"/>
    </row>
    <row r="167" spans="1:11">
      <c r="A167" s="4">
        <v>753</v>
      </c>
      <c r="B167" s="18" t="s">
        <v>185</v>
      </c>
      <c r="C167" s="2">
        <v>2913</v>
      </c>
      <c r="D167" s="3">
        <v>0</v>
      </c>
      <c r="E167" s="4">
        <f t="shared" si="2"/>
        <v>2913</v>
      </c>
      <c r="F167" s="3"/>
      <c r="G167" s="5"/>
      <c r="H167" s="4"/>
      <c r="I167" s="2"/>
      <c r="J167" s="3"/>
      <c r="K167" s="7"/>
    </row>
    <row r="168" spans="1:11">
      <c r="A168" s="4">
        <v>754</v>
      </c>
      <c r="B168" s="18" t="s">
        <v>186</v>
      </c>
      <c r="C168" s="2">
        <v>971</v>
      </c>
      <c r="D168" s="3">
        <v>414.7</v>
      </c>
      <c r="E168" s="4">
        <f t="shared" si="2"/>
        <v>1385.7</v>
      </c>
      <c r="F168" s="3"/>
      <c r="G168" s="5"/>
      <c r="H168" s="4"/>
      <c r="I168" s="2"/>
      <c r="J168" s="3"/>
      <c r="K168" s="7"/>
    </row>
    <row r="169" spans="1:11">
      <c r="A169" s="4">
        <v>755</v>
      </c>
      <c r="B169" s="18" t="s">
        <v>187</v>
      </c>
      <c r="C169" s="2">
        <v>971</v>
      </c>
      <c r="D169" s="3">
        <v>414.7</v>
      </c>
      <c r="E169" s="4">
        <f t="shared" si="2"/>
        <v>1385.7</v>
      </c>
      <c r="F169" s="3"/>
      <c r="G169" s="5"/>
      <c r="H169" s="4"/>
      <c r="I169" s="2"/>
      <c r="J169" s="3"/>
      <c r="K169" s="7"/>
    </row>
    <row r="170" spans="1:11">
      <c r="A170" s="4">
        <v>756</v>
      </c>
      <c r="B170" s="18" t="s">
        <v>188</v>
      </c>
      <c r="C170" s="2">
        <v>1290</v>
      </c>
      <c r="D170" s="3">
        <v>128</v>
      </c>
      <c r="E170" s="4">
        <f t="shared" si="2"/>
        <v>1418</v>
      </c>
      <c r="F170" s="3">
        <v>309.3</v>
      </c>
      <c r="G170" s="5">
        <v>388</v>
      </c>
      <c r="H170" s="4"/>
      <c r="I170" s="2"/>
      <c r="J170" s="3"/>
      <c r="K170" s="7"/>
    </row>
    <row r="171" spans="1:11">
      <c r="A171" s="4">
        <v>758</v>
      </c>
      <c r="B171" s="18" t="s">
        <v>189</v>
      </c>
      <c r="C171" s="2">
        <v>971</v>
      </c>
      <c r="D171" s="3">
        <v>414.7</v>
      </c>
      <c r="E171" s="4">
        <f t="shared" si="2"/>
        <v>1385.7</v>
      </c>
      <c r="F171" s="3"/>
      <c r="G171" s="5"/>
      <c r="H171" s="4"/>
      <c r="I171" s="2"/>
      <c r="J171" s="3"/>
      <c r="K171" s="7"/>
    </row>
    <row r="172" spans="1:11">
      <c r="A172" s="4">
        <v>759</v>
      </c>
      <c r="B172" s="18" t="s">
        <v>190</v>
      </c>
      <c r="C172" s="2"/>
      <c r="D172" s="3"/>
      <c r="E172" s="4"/>
      <c r="F172" s="3"/>
      <c r="G172" s="5"/>
      <c r="H172" s="4"/>
      <c r="I172" s="2"/>
      <c r="J172" s="3"/>
      <c r="K172" s="7"/>
    </row>
    <row r="173" spans="1:11">
      <c r="A173" s="4">
        <v>760</v>
      </c>
      <c r="B173" s="18" t="s">
        <v>191</v>
      </c>
      <c r="C173" s="2">
        <v>1400</v>
      </c>
      <c r="D173" s="3">
        <v>114</v>
      </c>
      <c r="E173" s="4">
        <f t="shared" ref="E173:E236" si="3">C173+D173</f>
        <v>1514</v>
      </c>
      <c r="F173" s="3"/>
      <c r="G173" s="5"/>
      <c r="H173" s="4"/>
      <c r="I173" s="2"/>
      <c r="J173" s="3"/>
      <c r="K173" s="7"/>
    </row>
    <row r="174" spans="1:11">
      <c r="A174" s="4">
        <v>761</v>
      </c>
      <c r="B174" s="18" t="s">
        <v>192</v>
      </c>
      <c r="C174" s="2">
        <v>1942</v>
      </c>
      <c r="D174" s="3">
        <v>43</v>
      </c>
      <c r="E174" s="4">
        <f t="shared" si="3"/>
        <v>1985</v>
      </c>
      <c r="F174" s="3">
        <v>362.7</v>
      </c>
      <c r="G174" s="5">
        <v>647</v>
      </c>
      <c r="H174" s="4">
        <v>150</v>
      </c>
      <c r="I174" s="2"/>
      <c r="J174" s="3"/>
      <c r="K174" s="7"/>
    </row>
    <row r="175" spans="1:11">
      <c r="A175" s="4">
        <v>763</v>
      </c>
      <c r="B175" s="18" t="s">
        <v>193</v>
      </c>
      <c r="C175" s="2">
        <v>971</v>
      </c>
      <c r="D175" s="3">
        <v>414.7</v>
      </c>
      <c r="E175" s="4">
        <f t="shared" si="3"/>
        <v>1385.7</v>
      </c>
      <c r="F175" s="3"/>
      <c r="G175" s="5"/>
      <c r="H175" s="4"/>
      <c r="I175" s="2"/>
      <c r="J175" s="3"/>
      <c r="K175" s="7"/>
    </row>
    <row r="176" spans="1:11">
      <c r="A176" s="4">
        <v>764</v>
      </c>
      <c r="B176" s="18" t="s">
        <v>194</v>
      </c>
      <c r="C176" s="2">
        <v>971</v>
      </c>
      <c r="D176" s="3">
        <v>414.7</v>
      </c>
      <c r="E176" s="4">
        <f t="shared" si="3"/>
        <v>1385.7</v>
      </c>
      <c r="F176" s="3"/>
      <c r="G176" s="5"/>
      <c r="H176" s="4"/>
      <c r="I176" s="2"/>
      <c r="J176" s="3"/>
      <c r="K176" s="7"/>
    </row>
    <row r="177" spans="1:11">
      <c r="A177" s="4">
        <v>765</v>
      </c>
      <c r="B177" s="18" t="s">
        <v>195</v>
      </c>
      <c r="C177" s="2">
        <v>971</v>
      </c>
      <c r="D177" s="3">
        <v>214</v>
      </c>
      <c r="E177" s="4">
        <f t="shared" si="3"/>
        <v>1185</v>
      </c>
      <c r="F177" s="3"/>
      <c r="G177" s="5"/>
      <c r="H177" s="4"/>
      <c r="I177" s="2">
        <v>155</v>
      </c>
      <c r="J177" s="3"/>
      <c r="K177" s="7"/>
    </row>
    <row r="178" spans="1:11">
      <c r="A178" s="4">
        <v>767</v>
      </c>
      <c r="B178" s="18" t="s">
        <v>196</v>
      </c>
      <c r="C178" s="2">
        <v>1700</v>
      </c>
      <c r="D178" s="3">
        <v>75</v>
      </c>
      <c r="E178" s="4">
        <f t="shared" si="3"/>
        <v>1775</v>
      </c>
      <c r="F178" s="3">
        <v>309.3</v>
      </c>
      <c r="G178" s="5">
        <v>388</v>
      </c>
      <c r="H178" s="4">
        <v>150</v>
      </c>
      <c r="I178" s="2"/>
      <c r="J178" s="3"/>
      <c r="K178" s="7"/>
    </row>
    <row r="179" spans="1:11">
      <c r="A179" s="4">
        <v>768</v>
      </c>
      <c r="B179" s="18" t="s">
        <v>197</v>
      </c>
      <c r="C179" s="2">
        <v>971</v>
      </c>
      <c r="D179" s="3">
        <v>414.7</v>
      </c>
      <c r="E179" s="4">
        <f t="shared" si="3"/>
        <v>1385.7</v>
      </c>
      <c r="F179" s="3"/>
      <c r="G179" s="5"/>
      <c r="H179" s="4">
        <v>150</v>
      </c>
      <c r="I179" s="2"/>
      <c r="J179" s="3"/>
      <c r="K179" s="7"/>
    </row>
    <row r="180" spans="1:11">
      <c r="A180" s="4">
        <v>769</v>
      </c>
      <c r="B180" s="18" t="s">
        <v>198</v>
      </c>
      <c r="C180" s="2">
        <v>2913</v>
      </c>
      <c r="D180" s="3">
        <v>0</v>
      </c>
      <c r="E180" s="4">
        <f t="shared" si="3"/>
        <v>2913</v>
      </c>
      <c r="F180" s="3"/>
      <c r="G180" s="5"/>
      <c r="H180" s="4"/>
      <c r="I180" s="2"/>
      <c r="J180" s="3"/>
      <c r="K180" s="7"/>
    </row>
    <row r="181" spans="1:11">
      <c r="A181" s="4">
        <v>770</v>
      </c>
      <c r="B181" s="18" t="s">
        <v>199</v>
      </c>
      <c r="C181" s="2">
        <v>2913</v>
      </c>
      <c r="D181" s="3">
        <v>0</v>
      </c>
      <c r="E181" s="4">
        <f t="shared" si="3"/>
        <v>2913</v>
      </c>
      <c r="F181" s="3">
        <v>776</v>
      </c>
      <c r="G181" s="5">
        <v>776</v>
      </c>
      <c r="H181" s="4"/>
      <c r="I181" s="2"/>
      <c r="J181" s="3"/>
      <c r="K181" s="7"/>
    </row>
    <row r="182" spans="1:11">
      <c r="A182" s="4">
        <v>771</v>
      </c>
      <c r="B182" s="18" t="s">
        <v>200</v>
      </c>
      <c r="C182" s="2">
        <v>3146</v>
      </c>
      <c r="D182" s="3">
        <v>0</v>
      </c>
      <c r="E182" s="4">
        <f t="shared" si="3"/>
        <v>3146</v>
      </c>
      <c r="F182" s="3"/>
      <c r="G182" s="5">
        <v>776</v>
      </c>
      <c r="H182" s="4"/>
      <c r="I182" s="2"/>
      <c r="J182" s="3"/>
      <c r="K182" s="7"/>
    </row>
    <row r="183" spans="1:11" ht="25.5">
      <c r="A183" s="4">
        <v>773</v>
      </c>
      <c r="B183" s="18" t="s">
        <v>201</v>
      </c>
      <c r="C183" s="2">
        <v>971</v>
      </c>
      <c r="D183" s="3">
        <v>414.7</v>
      </c>
      <c r="E183" s="4">
        <f t="shared" si="3"/>
        <v>1385.7</v>
      </c>
      <c r="F183" s="3"/>
      <c r="G183" s="5"/>
      <c r="H183" s="4">
        <v>150</v>
      </c>
      <c r="I183" s="2"/>
      <c r="J183" s="3"/>
      <c r="K183" s="7"/>
    </row>
    <row r="184" spans="1:11" ht="25.5">
      <c r="A184" s="4">
        <v>774</v>
      </c>
      <c r="B184" s="18" t="s">
        <v>202</v>
      </c>
      <c r="C184" s="2">
        <v>971</v>
      </c>
      <c r="D184" s="3">
        <v>414.7</v>
      </c>
      <c r="E184" s="4">
        <f t="shared" si="3"/>
        <v>1385.7</v>
      </c>
      <c r="F184" s="3"/>
      <c r="G184" s="5"/>
      <c r="H184" s="4">
        <v>150</v>
      </c>
      <c r="I184" s="2"/>
      <c r="J184" s="3"/>
      <c r="K184" s="7"/>
    </row>
    <row r="185" spans="1:11">
      <c r="A185" s="4">
        <v>775</v>
      </c>
      <c r="B185" s="18" t="s">
        <v>203</v>
      </c>
      <c r="C185" s="2">
        <v>1400</v>
      </c>
      <c r="D185" s="3">
        <v>114</v>
      </c>
      <c r="E185" s="4">
        <f t="shared" si="3"/>
        <v>1514</v>
      </c>
      <c r="F185" s="3">
        <v>310.7</v>
      </c>
      <c r="G185" s="5">
        <v>388</v>
      </c>
      <c r="H185" s="4">
        <v>150</v>
      </c>
      <c r="I185" s="2"/>
      <c r="J185" s="3"/>
      <c r="K185" s="7"/>
    </row>
    <row r="186" spans="1:11">
      <c r="A186" s="4">
        <v>776</v>
      </c>
      <c r="B186" s="18" t="s">
        <v>204</v>
      </c>
      <c r="C186" s="2">
        <v>971</v>
      </c>
      <c r="D186" s="3">
        <v>414.7</v>
      </c>
      <c r="E186" s="4">
        <f t="shared" si="3"/>
        <v>1385.7</v>
      </c>
      <c r="F186" s="3"/>
      <c r="G186" s="5"/>
      <c r="H186" s="4"/>
      <c r="I186" s="2"/>
      <c r="J186" s="3"/>
      <c r="K186" s="7"/>
    </row>
    <row r="187" spans="1:11">
      <c r="A187" s="4">
        <v>777</v>
      </c>
      <c r="B187" s="18" t="s">
        <v>205</v>
      </c>
      <c r="C187" s="2">
        <v>2913</v>
      </c>
      <c r="D187" s="3">
        <v>0</v>
      </c>
      <c r="E187" s="4">
        <f t="shared" si="3"/>
        <v>2913</v>
      </c>
      <c r="F187" s="3"/>
      <c r="G187" s="5"/>
      <c r="H187" s="4"/>
      <c r="I187" s="2"/>
      <c r="J187" s="3"/>
      <c r="K187" s="7"/>
    </row>
    <row r="188" spans="1:11">
      <c r="A188" s="4">
        <v>778</v>
      </c>
      <c r="B188" s="18" t="s">
        <v>206</v>
      </c>
      <c r="C188" s="2">
        <v>1692</v>
      </c>
      <c r="D188" s="3">
        <v>76</v>
      </c>
      <c r="E188" s="4">
        <f t="shared" si="3"/>
        <v>1768</v>
      </c>
      <c r="F188" s="3">
        <v>362.7</v>
      </c>
      <c r="G188" s="5">
        <v>453</v>
      </c>
      <c r="H188" s="4">
        <v>17</v>
      </c>
      <c r="I188" s="2"/>
      <c r="J188" s="3"/>
      <c r="K188" s="7"/>
    </row>
    <row r="189" spans="1:11">
      <c r="A189" s="4">
        <v>779</v>
      </c>
      <c r="B189" s="18" t="s">
        <v>207</v>
      </c>
      <c r="C189" s="2">
        <v>853</v>
      </c>
      <c r="D189" s="3">
        <v>414.7</v>
      </c>
      <c r="E189" s="4">
        <f t="shared" si="3"/>
        <v>1267.7</v>
      </c>
      <c r="F189" s="3"/>
      <c r="G189" s="5"/>
      <c r="H189" s="4"/>
      <c r="I189" s="2"/>
      <c r="J189" s="3"/>
      <c r="K189" s="7"/>
    </row>
    <row r="190" spans="1:11">
      <c r="A190" s="4">
        <v>780</v>
      </c>
      <c r="B190" s="18" t="s">
        <v>208</v>
      </c>
      <c r="C190" s="2">
        <v>3146</v>
      </c>
      <c r="D190" s="3">
        <v>0</v>
      </c>
      <c r="E190" s="4">
        <f t="shared" si="3"/>
        <v>3146</v>
      </c>
      <c r="F190" s="3"/>
      <c r="G190" s="5"/>
      <c r="H190" s="4"/>
      <c r="I190" s="2"/>
      <c r="J190" s="3"/>
      <c r="K190" s="7"/>
    </row>
    <row r="191" spans="1:11">
      <c r="A191" s="4">
        <v>781</v>
      </c>
      <c r="B191" s="18" t="s">
        <v>209</v>
      </c>
      <c r="C191" s="2">
        <v>2288</v>
      </c>
      <c r="D191" s="3">
        <v>0</v>
      </c>
      <c r="E191" s="4">
        <f t="shared" si="3"/>
        <v>2288</v>
      </c>
      <c r="F191" s="3"/>
      <c r="G191" s="5"/>
      <c r="H191" s="4"/>
      <c r="I191" s="2"/>
      <c r="J191" s="3"/>
      <c r="K191" s="7"/>
    </row>
    <row r="192" spans="1:11">
      <c r="A192" s="4">
        <v>783</v>
      </c>
      <c r="B192" s="18" t="s">
        <v>210</v>
      </c>
      <c r="C192" s="2">
        <v>690</v>
      </c>
      <c r="D192" s="3">
        <v>414.7</v>
      </c>
      <c r="E192" s="4">
        <f t="shared" si="3"/>
        <v>1104.7</v>
      </c>
      <c r="F192" s="3"/>
      <c r="G192" s="5"/>
      <c r="H192" s="4"/>
      <c r="I192" s="2"/>
      <c r="J192" s="3"/>
      <c r="K192" s="7"/>
    </row>
    <row r="193" spans="1:11">
      <c r="A193" s="4">
        <v>787</v>
      </c>
      <c r="B193" s="18" t="s">
        <v>211</v>
      </c>
      <c r="C193" s="2">
        <v>1700</v>
      </c>
      <c r="D193" s="3">
        <v>75</v>
      </c>
      <c r="E193" s="4">
        <f t="shared" si="3"/>
        <v>1775</v>
      </c>
      <c r="F193" s="3">
        <v>310.7</v>
      </c>
      <c r="G193" s="5">
        <v>388</v>
      </c>
      <c r="H193" s="4">
        <v>17</v>
      </c>
      <c r="I193" s="2"/>
      <c r="J193" s="3"/>
      <c r="K193" s="7"/>
    </row>
    <row r="194" spans="1:11">
      <c r="A194" s="4">
        <v>788</v>
      </c>
      <c r="B194" s="18" t="s">
        <v>212</v>
      </c>
      <c r="C194" s="2">
        <v>644</v>
      </c>
      <c r="D194" s="3">
        <v>414.7</v>
      </c>
      <c r="E194" s="4">
        <f t="shared" si="3"/>
        <v>1058.7</v>
      </c>
      <c r="F194" s="3"/>
      <c r="G194" s="5"/>
      <c r="H194" s="4"/>
      <c r="I194" s="2"/>
      <c r="J194" s="3"/>
      <c r="K194" s="7"/>
    </row>
    <row r="195" spans="1:11">
      <c r="A195" s="4">
        <v>790</v>
      </c>
      <c r="B195" s="18" t="s">
        <v>213</v>
      </c>
      <c r="C195" s="2">
        <v>971</v>
      </c>
      <c r="D195" s="3">
        <v>414.7</v>
      </c>
      <c r="E195" s="4">
        <f t="shared" si="3"/>
        <v>1385.7</v>
      </c>
      <c r="F195" s="3"/>
      <c r="G195" s="5"/>
      <c r="H195" s="4">
        <v>17</v>
      </c>
      <c r="I195" s="2"/>
      <c r="J195" s="3"/>
      <c r="K195" s="7"/>
    </row>
    <row r="196" spans="1:11">
      <c r="A196" s="4">
        <v>791</v>
      </c>
      <c r="B196" s="18" t="s">
        <v>214</v>
      </c>
      <c r="C196" s="2">
        <v>2913</v>
      </c>
      <c r="D196" s="3">
        <v>0</v>
      </c>
      <c r="E196" s="4">
        <f t="shared" si="3"/>
        <v>2913</v>
      </c>
      <c r="F196" s="3">
        <v>776</v>
      </c>
      <c r="G196" s="5">
        <v>776</v>
      </c>
      <c r="H196" s="4">
        <v>17</v>
      </c>
      <c r="I196" s="2"/>
      <c r="J196" s="3"/>
      <c r="K196" s="7"/>
    </row>
    <row r="197" spans="1:11">
      <c r="A197" s="4">
        <v>793</v>
      </c>
      <c r="B197" s="18" t="s">
        <v>215</v>
      </c>
      <c r="C197" s="2">
        <v>2913</v>
      </c>
      <c r="D197" s="3">
        <v>0</v>
      </c>
      <c r="E197" s="4">
        <f t="shared" si="3"/>
        <v>2913</v>
      </c>
      <c r="F197" s="3">
        <v>776</v>
      </c>
      <c r="G197" s="5">
        <v>776</v>
      </c>
      <c r="H197" s="4"/>
      <c r="I197" s="2"/>
      <c r="J197" s="3"/>
      <c r="K197" s="7"/>
    </row>
    <row r="198" spans="1:11">
      <c r="A198" s="4">
        <v>794</v>
      </c>
      <c r="B198" s="18" t="s">
        <v>216</v>
      </c>
      <c r="C198" s="2">
        <v>1840</v>
      </c>
      <c r="D198" s="3">
        <v>57</v>
      </c>
      <c r="E198" s="4">
        <f t="shared" si="3"/>
        <v>1897</v>
      </c>
      <c r="F198" s="3">
        <v>465.3</v>
      </c>
      <c r="G198" s="5">
        <v>647</v>
      </c>
      <c r="H198" s="4"/>
      <c r="I198" s="2"/>
      <c r="J198" s="3"/>
      <c r="K198" s="9">
        <v>744</v>
      </c>
    </row>
    <row r="199" spans="1:11">
      <c r="A199" s="4">
        <v>795</v>
      </c>
      <c r="B199" s="18" t="s">
        <v>217</v>
      </c>
      <c r="C199" s="2">
        <v>1610</v>
      </c>
      <c r="D199" s="3">
        <v>87</v>
      </c>
      <c r="E199" s="4">
        <f t="shared" si="3"/>
        <v>1697</v>
      </c>
      <c r="F199" s="3">
        <v>310</v>
      </c>
      <c r="G199" s="5">
        <v>388</v>
      </c>
      <c r="H199" s="4"/>
      <c r="I199" s="2"/>
      <c r="J199" s="3"/>
      <c r="K199" s="10">
        <v>650</v>
      </c>
    </row>
    <row r="200" spans="1:11">
      <c r="A200" s="4">
        <v>796</v>
      </c>
      <c r="B200" s="18" t="s">
        <v>218</v>
      </c>
      <c r="C200" s="2">
        <v>1340</v>
      </c>
      <c r="D200" s="3">
        <v>122</v>
      </c>
      <c r="E200" s="4">
        <f t="shared" si="3"/>
        <v>1462</v>
      </c>
      <c r="F200" s="3">
        <v>310</v>
      </c>
      <c r="G200" s="5">
        <v>388</v>
      </c>
      <c r="H200" s="4"/>
      <c r="I200" s="2"/>
      <c r="J200" s="3"/>
      <c r="K200" s="7"/>
    </row>
    <row r="201" spans="1:11">
      <c r="A201" s="4">
        <v>797</v>
      </c>
      <c r="B201" s="18" t="s">
        <v>219</v>
      </c>
      <c r="C201" s="2">
        <v>1170</v>
      </c>
      <c r="D201" s="3">
        <v>144</v>
      </c>
      <c r="E201" s="4">
        <f t="shared" si="3"/>
        <v>1314</v>
      </c>
      <c r="F201" s="3"/>
      <c r="G201" s="5"/>
      <c r="H201" s="4"/>
      <c r="I201" s="2"/>
      <c r="J201" s="3"/>
      <c r="K201" s="7"/>
    </row>
    <row r="202" spans="1:11">
      <c r="A202" s="4">
        <v>799</v>
      </c>
      <c r="B202" s="18" t="s">
        <v>220</v>
      </c>
      <c r="C202" s="2">
        <v>1480</v>
      </c>
      <c r="D202" s="3">
        <v>104</v>
      </c>
      <c r="E202" s="4">
        <f t="shared" si="3"/>
        <v>1584</v>
      </c>
      <c r="F202" s="3"/>
      <c r="G202" s="5"/>
      <c r="H202" s="4"/>
      <c r="I202" s="2"/>
      <c r="J202" s="3"/>
      <c r="K202" s="7"/>
    </row>
    <row r="203" spans="1:11">
      <c r="A203" s="4">
        <v>800</v>
      </c>
      <c r="B203" s="18" t="s">
        <v>221</v>
      </c>
      <c r="C203" s="2">
        <v>1942</v>
      </c>
      <c r="D203" s="3">
        <v>43</v>
      </c>
      <c r="E203" s="4">
        <f t="shared" si="3"/>
        <v>1985</v>
      </c>
      <c r="F203" s="3">
        <v>310</v>
      </c>
      <c r="G203" s="5">
        <v>388</v>
      </c>
      <c r="H203" s="4">
        <v>17</v>
      </c>
      <c r="I203" s="2">
        <v>223</v>
      </c>
      <c r="J203" s="3"/>
      <c r="K203" s="7"/>
    </row>
    <row r="204" spans="1:11">
      <c r="A204" s="4">
        <v>802</v>
      </c>
      <c r="B204" s="18" t="s">
        <v>222</v>
      </c>
      <c r="C204" s="2">
        <v>1700</v>
      </c>
      <c r="D204" s="3">
        <v>75</v>
      </c>
      <c r="E204" s="4">
        <f t="shared" si="3"/>
        <v>1775</v>
      </c>
      <c r="F204" s="3">
        <v>310</v>
      </c>
      <c r="G204" s="5">
        <v>388</v>
      </c>
      <c r="H204" s="4">
        <v>17</v>
      </c>
      <c r="I204" s="2">
        <v>211</v>
      </c>
      <c r="J204" s="3"/>
      <c r="K204" s="7"/>
    </row>
    <row r="205" spans="1:11">
      <c r="A205" s="4">
        <v>803</v>
      </c>
      <c r="B205" s="18" t="s">
        <v>223</v>
      </c>
      <c r="C205" s="2">
        <v>971</v>
      </c>
      <c r="D205" s="3">
        <v>214</v>
      </c>
      <c r="E205" s="4">
        <f t="shared" si="3"/>
        <v>1185</v>
      </c>
      <c r="F205" s="3"/>
      <c r="G205" s="5"/>
      <c r="H205" s="4">
        <v>17</v>
      </c>
      <c r="I205" s="2">
        <v>413</v>
      </c>
      <c r="J205" s="3"/>
      <c r="K205" s="7"/>
    </row>
    <row r="206" spans="1:11">
      <c r="A206" s="4">
        <v>804</v>
      </c>
      <c r="B206" s="18" t="s">
        <v>224</v>
      </c>
      <c r="C206" s="2">
        <v>971</v>
      </c>
      <c r="D206" s="3">
        <v>414.7</v>
      </c>
      <c r="E206" s="4">
        <f t="shared" si="3"/>
        <v>1385.7</v>
      </c>
      <c r="F206" s="3"/>
      <c r="G206" s="5"/>
      <c r="H206" s="4"/>
      <c r="I206" s="2"/>
      <c r="J206" s="3"/>
      <c r="K206" s="7"/>
    </row>
    <row r="207" spans="1:11">
      <c r="A207" s="4">
        <v>805</v>
      </c>
      <c r="B207" s="18" t="s">
        <v>225</v>
      </c>
      <c r="C207" s="2">
        <v>1150</v>
      </c>
      <c r="D207" s="3">
        <v>147</v>
      </c>
      <c r="E207" s="4">
        <f t="shared" si="3"/>
        <v>1297</v>
      </c>
      <c r="F207" s="3"/>
      <c r="G207" s="5"/>
      <c r="H207" s="4"/>
      <c r="I207" s="2"/>
      <c r="J207" s="3"/>
      <c r="K207" s="7"/>
    </row>
    <row r="208" spans="1:11">
      <c r="A208" s="4">
        <v>806</v>
      </c>
      <c r="B208" s="18" t="s">
        <v>226</v>
      </c>
      <c r="C208" s="2">
        <v>971</v>
      </c>
      <c r="D208" s="3">
        <v>414.7</v>
      </c>
      <c r="E208" s="4">
        <f t="shared" si="3"/>
        <v>1385.7</v>
      </c>
      <c r="F208" s="3"/>
      <c r="G208" s="5"/>
      <c r="H208" s="4"/>
      <c r="I208" s="2"/>
      <c r="J208" s="3"/>
      <c r="K208" s="7"/>
    </row>
    <row r="209" spans="1:11">
      <c r="A209" s="4">
        <v>807</v>
      </c>
      <c r="B209" s="18" t="s">
        <v>227</v>
      </c>
      <c r="C209" s="2">
        <v>1942</v>
      </c>
      <c r="D209" s="3">
        <v>43</v>
      </c>
      <c r="E209" s="4">
        <f t="shared" si="3"/>
        <v>1985</v>
      </c>
      <c r="F209" s="3">
        <v>518</v>
      </c>
      <c r="G209" s="5">
        <v>647</v>
      </c>
      <c r="H209" s="4"/>
      <c r="I209" s="2"/>
      <c r="J209" s="3"/>
      <c r="K209" s="7"/>
    </row>
    <row r="210" spans="1:11">
      <c r="A210" s="4">
        <v>808</v>
      </c>
      <c r="B210" s="18" t="s">
        <v>228</v>
      </c>
      <c r="C210" s="2">
        <v>1942</v>
      </c>
      <c r="D210" s="3">
        <v>43</v>
      </c>
      <c r="E210" s="4">
        <f t="shared" si="3"/>
        <v>1985</v>
      </c>
      <c r="F210" s="3">
        <v>310.7</v>
      </c>
      <c r="G210" s="5">
        <v>388</v>
      </c>
      <c r="H210" s="4"/>
      <c r="I210" s="2">
        <v>669</v>
      </c>
      <c r="J210" s="3"/>
      <c r="K210" s="7"/>
    </row>
    <row r="211" spans="1:11">
      <c r="A211" s="4">
        <v>809</v>
      </c>
      <c r="B211" s="18" t="s">
        <v>229</v>
      </c>
      <c r="C211" s="2">
        <v>1782</v>
      </c>
      <c r="D211" s="3">
        <v>64</v>
      </c>
      <c r="E211" s="4">
        <f t="shared" si="3"/>
        <v>1846</v>
      </c>
      <c r="F211" s="3">
        <v>310.7</v>
      </c>
      <c r="G211" s="5">
        <v>388</v>
      </c>
      <c r="H211" s="4"/>
      <c r="I211" s="2">
        <v>669</v>
      </c>
      <c r="J211" s="3"/>
      <c r="K211" s="7"/>
    </row>
    <row r="212" spans="1:11">
      <c r="A212" s="4">
        <v>810</v>
      </c>
      <c r="B212" s="18" t="s">
        <v>230</v>
      </c>
      <c r="C212" s="2">
        <v>1692</v>
      </c>
      <c r="D212" s="3">
        <v>76</v>
      </c>
      <c r="E212" s="4">
        <f t="shared" si="3"/>
        <v>1768</v>
      </c>
      <c r="F212" s="3">
        <v>310.7</v>
      </c>
      <c r="G212" s="5">
        <v>388</v>
      </c>
      <c r="H212" s="4"/>
      <c r="I212" s="2">
        <v>663</v>
      </c>
      <c r="J212" s="3"/>
      <c r="K212" s="7"/>
    </row>
    <row r="213" spans="1:11">
      <c r="A213" s="4">
        <v>811</v>
      </c>
      <c r="B213" s="18" t="s">
        <v>231</v>
      </c>
      <c r="C213" s="2">
        <v>1592</v>
      </c>
      <c r="D213" s="3">
        <v>89</v>
      </c>
      <c r="E213" s="4">
        <f t="shared" si="3"/>
        <v>1681</v>
      </c>
      <c r="F213" s="3">
        <v>310.7</v>
      </c>
      <c r="G213" s="5">
        <v>388</v>
      </c>
      <c r="H213" s="4"/>
      <c r="I213" s="2">
        <v>657</v>
      </c>
      <c r="J213" s="3"/>
      <c r="K213" s="7"/>
    </row>
    <row r="214" spans="1:11">
      <c r="A214" s="4">
        <v>812</v>
      </c>
      <c r="B214" s="18" t="s">
        <v>232</v>
      </c>
      <c r="C214" s="2">
        <v>1600</v>
      </c>
      <c r="D214" s="3">
        <v>88</v>
      </c>
      <c r="E214" s="4">
        <f t="shared" si="3"/>
        <v>1688</v>
      </c>
      <c r="F214" s="3">
        <v>310.7</v>
      </c>
      <c r="G214" s="5">
        <v>388</v>
      </c>
      <c r="H214" s="4"/>
      <c r="I214" s="2">
        <v>657</v>
      </c>
      <c r="J214" s="3"/>
      <c r="K214" s="7"/>
    </row>
    <row r="215" spans="1:11">
      <c r="A215" s="4">
        <v>813</v>
      </c>
      <c r="B215" s="18" t="s">
        <v>233</v>
      </c>
      <c r="C215" s="2">
        <v>971</v>
      </c>
      <c r="D215" s="3">
        <v>214</v>
      </c>
      <c r="E215" s="4">
        <f t="shared" si="3"/>
        <v>1185</v>
      </c>
      <c r="F215" s="3"/>
      <c r="G215" s="5"/>
      <c r="H215" s="4"/>
      <c r="I215" s="2">
        <v>620</v>
      </c>
      <c r="J215" s="3"/>
      <c r="K215" s="7"/>
    </row>
    <row r="216" spans="1:11">
      <c r="A216" s="4">
        <v>814</v>
      </c>
      <c r="B216" s="18" t="s">
        <v>234</v>
      </c>
      <c r="C216" s="2">
        <v>971</v>
      </c>
      <c r="D216" s="3">
        <v>214</v>
      </c>
      <c r="E216" s="4">
        <f t="shared" si="3"/>
        <v>1185</v>
      </c>
      <c r="F216" s="3"/>
      <c r="G216" s="5"/>
      <c r="H216" s="4"/>
      <c r="I216" s="2">
        <v>155</v>
      </c>
      <c r="J216" s="3"/>
      <c r="K216" s="7"/>
    </row>
    <row r="217" spans="1:11">
      <c r="A217" s="4">
        <v>816</v>
      </c>
      <c r="B217" s="18" t="s">
        <v>235</v>
      </c>
      <c r="C217" s="2">
        <v>1600</v>
      </c>
      <c r="D217" s="3">
        <v>88</v>
      </c>
      <c r="E217" s="4">
        <f t="shared" si="3"/>
        <v>1688</v>
      </c>
      <c r="F217" s="3">
        <v>310.7</v>
      </c>
      <c r="G217" s="5">
        <v>388</v>
      </c>
      <c r="H217" s="4">
        <v>17</v>
      </c>
      <c r="I217" s="2"/>
      <c r="J217" s="3"/>
      <c r="K217" s="7"/>
    </row>
    <row r="218" spans="1:11">
      <c r="A218" s="4">
        <v>817</v>
      </c>
      <c r="B218" s="18" t="s">
        <v>236</v>
      </c>
      <c r="C218" s="2">
        <v>971</v>
      </c>
      <c r="D218" s="3">
        <v>214</v>
      </c>
      <c r="E218" s="4">
        <f t="shared" si="3"/>
        <v>1185</v>
      </c>
      <c r="F218" s="3"/>
      <c r="G218" s="5"/>
      <c r="H218" s="4"/>
      <c r="I218" s="2">
        <v>155</v>
      </c>
      <c r="J218" s="3"/>
      <c r="K218" s="7"/>
    </row>
    <row r="219" spans="1:11">
      <c r="A219" s="4">
        <v>818</v>
      </c>
      <c r="B219" s="18" t="s">
        <v>237</v>
      </c>
      <c r="C219" s="2">
        <v>971</v>
      </c>
      <c r="D219" s="3">
        <v>214</v>
      </c>
      <c r="E219" s="4">
        <f t="shared" si="3"/>
        <v>1185</v>
      </c>
      <c r="F219" s="3"/>
      <c r="G219" s="5"/>
      <c r="H219" s="4"/>
      <c r="I219" s="2">
        <v>659</v>
      </c>
      <c r="J219" s="3"/>
      <c r="K219" s="7"/>
    </row>
    <row r="220" spans="1:11">
      <c r="A220" s="4">
        <v>819</v>
      </c>
      <c r="B220" s="18" t="s">
        <v>238</v>
      </c>
      <c r="C220" s="2">
        <v>971</v>
      </c>
      <c r="D220" s="3">
        <v>214</v>
      </c>
      <c r="E220" s="4">
        <f t="shared" si="3"/>
        <v>1185</v>
      </c>
      <c r="F220" s="3"/>
      <c r="G220" s="5"/>
      <c r="H220" s="4"/>
      <c r="I220" s="2">
        <v>155</v>
      </c>
      <c r="J220" s="3"/>
      <c r="K220" s="7"/>
    </row>
    <row r="221" spans="1:11">
      <c r="A221" s="4">
        <v>820</v>
      </c>
      <c r="B221" s="18" t="s">
        <v>239</v>
      </c>
      <c r="C221" s="2">
        <v>1692</v>
      </c>
      <c r="D221" s="3">
        <v>76</v>
      </c>
      <c r="E221" s="4">
        <f t="shared" si="3"/>
        <v>1768</v>
      </c>
      <c r="F221" s="3">
        <v>362.7</v>
      </c>
      <c r="G221" s="5">
        <v>453</v>
      </c>
      <c r="H221" s="4"/>
      <c r="I221" s="2">
        <v>839</v>
      </c>
      <c r="J221" s="3"/>
      <c r="K221" s="7"/>
    </row>
    <row r="222" spans="1:11">
      <c r="A222" s="4">
        <v>821</v>
      </c>
      <c r="B222" s="18" t="s">
        <v>240</v>
      </c>
      <c r="C222" s="2">
        <v>1592</v>
      </c>
      <c r="D222" s="3">
        <v>89</v>
      </c>
      <c r="E222" s="4">
        <f t="shared" si="3"/>
        <v>1681</v>
      </c>
      <c r="F222" s="3">
        <v>310.7</v>
      </c>
      <c r="G222" s="5">
        <v>388</v>
      </c>
      <c r="H222" s="4"/>
      <c r="I222" s="2">
        <v>839</v>
      </c>
      <c r="J222" s="3"/>
      <c r="K222" s="7"/>
    </row>
    <row r="223" spans="1:11">
      <c r="A223" s="4">
        <v>822</v>
      </c>
      <c r="B223" s="18" t="s">
        <v>241</v>
      </c>
      <c r="C223" s="2">
        <v>971</v>
      </c>
      <c r="D223" s="3">
        <v>414.7</v>
      </c>
      <c r="E223" s="4">
        <f t="shared" si="3"/>
        <v>1385.7</v>
      </c>
      <c r="F223" s="3"/>
      <c r="G223" s="5"/>
      <c r="H223" s="4"/>
      <c r="I223" s="2"/>
      <c r="J223" s="3"/>
      <c r="K223" s="7"/>
    </row>
    <row r="224" spans="1:11">
      <c r="A224" s="4">
        <v>823</v>
      </c>
      <c r="B224" s="18" t="s">
        <v>242</v>
      </c>
      <c r="C224" s="2">
        <v>1700</v>
      </c>
      <c r="D224" s="3">
        <v>75</v>
      </c>
      <c r="E224" s="4">
        <f t="shared" si="3"/>
        <v>1775</v>
      </c>
      <c r="F224" s="3">
        <v>310.7</v>
      </c>
      <c r="G224" s="5">
        <v>388</v>
      </c>
      <c r="H224" s="4"/>
      <c r="I224" s="2">
        <v>657</v>
      </c>
      <c r="J224" s="3"/>
      <c r="K224" s="7"/>
    </row>
    <row r="225" spans="1:11">
      <c r="A225" s="4">
        <v>824</v>
      </c>
      <c r="B225" s="18" t="s">
        <v>243</v>
      </c>
      <c r="C225" s="2">
        <v>1400</v>
      </c>
      <c r="D225" s="3">
        <v>114</v>
      </c>
      <c r="E225" s="4">
        <f t="shared" si="3"/>
        <v>1514</v>
      </c>
      <c r="F225" s="3">
        <v>310.7</v>
      </c>
      <c r="G225" s="5">
        <v>388</v>
      </c>
      <c r="H225" s="4"/>
      <c r="I225" s="2">
        <v>657</v>
      </c>
      <c r="J225" s="3"/>
      <c r="K225" s="7"/>
    </row>
    <row r="226" spans="1:11">
      <c r="A226" s="4">
        <v>825</v>
      </c>
      <c r="B226" s="18" t="s">
        <v>244</v>
      </c>
      <c r="C226" s="2">
        <v>1300</v>
      </c>
      <c r="D226" s="3">
        <v>127</v>
      </c>
      <c r="E226" s="4">
        <f t="shared" si="3"/>
        <v>1427</v>
      </c>
      <c r="F226" s="3">
        <v>310.7</v>
      </c>
      <c r="G226" s="5">
        <v>388</v>
      </c>
      <c r="H226" s="4"/>
      <c r="I226" s="2">
        <v>657</v>
      </c>
      <c r="J226" s="3"/>
      <c r="K226" s="7"/>
    </row>
    <row r="227" spans="1:11">
      <c r="A227" s="4">
        <v>826</v>
      </c>
      <c r="B227" s="18" t="s">
        <v>245</v>
      </c>
      <c r="C227" s="2">
        <v>1250</v>
      </c>
      <c r="D227" s="3">
        <v>134</v>
      </c>
      <c r="E227" s="4">
        <f t="shared" si="3"/>
        <v>1384</v>
      </c>
      <c r="F227" s="3">
        <v>310.7</v>
      </c>
      <c r="G227" s="5">
        <v>388</v>
      </c>
      <c r="H227" s="4"/>
      <c r="I227" s="2">
        <v>657</v>
      </c>
      <c r="J227" s="3"/>
      <c r="K227" s="7"/>
    </row>
    <row r="228" spans="1:11">
      <c r="A228" s="4">
        <v>827</v>
      </c>
      <c r="B228" s="18" t="s">
        <v>246</v>
      </c>
      <c r="C228" s="2">
        <v>1680</v>
      </c>
      <c r="D228" s="3">
        <v>77</v>
      </c>
      <c r="E228" s="4">
        <f t="shared" si="3"/>
        <v>1757</v>
      </c>
      <c r="F228" s="3">
        <v>517.29999999999995</v>
      </c>
      <c r="G228" s="5">
        <v>453</v>
      </c>
      <c r="H228" s="4"/>
      <c r="I228" s="2"/>
      <c r="J228" s="3"/>
      <c r="K228" s="7"/>
    </row>
    <row r="229" spans="1:11">
      <c r="A229" s="4">
        <v>828</v>
      </c>
      <c r="B229" s="18" t="s">
        <v>247</v>
      </c>
      <c r="C229" s="2">
        <v>2913</v>
      </c>
      <c r="D229" s="3">
        <v>0</v>
      </c>
      <c r="E229" s="4">
        <f t="shared" si="3"/>
        <v>2913</v>
      </c>
      <c r="F229" s="3"/>
      <c r="G229" s="5"/>
      <c r="H229" s="4">
        <v>17</v>
      </c>
      <c r="I229" s="2"/>
      <c r="J229" s="3"/>
      <c r="K229" s="7"/>
    </row>
    <row r="230" spans="1:11" ht="25.5">
      <c r="A230" s="4">
        <v>829</v>
      </c>
      <c r="B230" s="18" t="s">
        <v>248</v>
      </c>
      <c r="C230" s="2">
        <v>971</v>
      </c>
      <c r="D230" s="3">
        <v>414.7</v>
      </c>
      <c r="E230" s="4">
        <f t="shared" si="3"/>
        <v>1385.7</v>
      </c>
      <c r="F230" s="3"/>
      <c r="G230" s="5"/>
      <c r="H230" s="4"/>
      <c r="I230" s="2"/>
      <c r="J230" s="3"/>
      <c r="K230" s="7"/>
    </row>
    <row r="231" spans="1:11">
      <c r="A231" s="4">
        <v>830</v>
      </c>
      <c r="B231" s="18" t="s">
        <v>249</v>
      </c>
      <c r="C231" s="2">
        <v>971</v>
      </c>
      <c r="D231" s="3">
        <v>414.7</v>
      </c>
      <c r="E231" s="4">
        <f t="shared" si="3"/>
        <v>1385.7</v>
      </c>
      <c r="F231" s="3"/>
      <c r="G231" s="5"/>
      <c r="H231" s="4"/>
      <c r="I231" s="2"/>
      <c r="J231" s="3"/>
      <c r="K231" s="7"/>
    </row>
    <row r="232" spans="1:11">
      <c r="A232" s="4">
        <v>831</v>
      </c>
      <c r="B232" s="18" t="s">
        <v>250</v>
      </c>
      <c r="C232" s="2">
        <v>971</v>
      </c>
      <c r="D232" s="3">
        <v>414.7</v>
      </c>
      <c r="E232" s="4">
        <f t="shared" si="3"/>
        <v>1385.7</v>
      </c>
      <c r="F232" s="3"/>
      <c r="G232" s="5"/>
      <c r="H232" s="4"/>
      <c r="I232" s="2"/>
      <c r="J232" s="3"/>
      <c r="K232" s="7"/>
    </row>
    <row r="233" spans="1:11">
      <c r="A233" s="4">
        <v>833</v>
      </c>
      <c r="B233" s="18" t="s">
        <v>251</v>
      </c>
      <c r="C233" s="2">
        <v>971</v>
      </c>
      <c r="D233" s="3">
        <v>214</v>
      </c>
      <c r="E233" s="4">
        <f t="shared" si="3"/>
        <v>1185</v>
      </c>
      <c r="F233" s="3"/>
      <c r="G233" s="5"/>
      <c r="H233" s="4"/>
      <c r="I233" s="2">
        <v>155</v>
      </c>
      <c r="J233" s="3"/>
      <c r="K233" s="7"/>
    </row>
    <row r="234" spans="1:11">
      <c r="A234" s="4">
        <v>834</v>
      </c>
      <c r="B234" s="18" t="s">
        <v>252</v>
      </c>
      <c r="C234" s="2">
        <v>971</v>
      </c>
      <c r="D234" s="3">
        <v>214</v>
      </c>
      <c r="E234" s="4">
        <f t="shared" si="3"/>
        <v>1185</v>
      </c>
      <c r="F234" s="3"/>
      <c r="G234" s="5"/>
      <c r="H234" s="4"/>
      <c r="I234" s="2">
        <v>155</v>
      </c>
      <c r="J234" s="3"/>
      <c r="K234" s="7"/>
    </row>
    <row r="235" spans="1:11">
      <c r="A235" s="4">
        <v>835</v>
      </c>
      <c r="B235" s="18" t="s">
        <v>253</v>
      </c>
      <c r="C235" s="2">
        <v>971</v>
      </c>
      <c r="D235" s="3">
        <v>214</v>
      </c>
      <c r="E235" s="4">
        <f t="shared" si="3"/>
        <v>1185</v>
      </c>
      <c r="F235" s="3"/>
      <c r="G235" s="5"/>
      <c r="H235" s="4"/>
      <c r="I235" s="2">
        <v>620</v>
      </c>
      <c r="J235" s="3"/>
      <c r="K235" s="7"/>
    </row>
    <row r="236" spans="1:11">
      <c r="A236" s="4">
        <v>836</v>
      </c>
      <c r="B236" s="18" t="s">
        <v>254</v>
      </c>
      <c r="C236" s="2">
        <v>971</v>
      </c>
      <c r="D236" s="3">
        <v>214</v>
      </c>
      <c r="E236" s="4">
        <f t="shared" si="3"/>
        <v>1185</v>
      </c>
      <c r="F236" s="3"/>
      <c r="G236" s="5"/>
      <c r="H236" s="4"/>
      <c r="I236" s="2">
        <v>155</v>
      </c>
      <c r="J236" s="3"/>
      <c r="K236" s="7"/>
    </row>
    <row r="237" spans="1:11">
      <c r="A237" s="4">
        <v>837</v>
      </c>
      <c r="B237" s="18" t="s">
        <v>255</v>
      </c>
      <c r="C237" s="2">
        <v>971</v>
      </c>
      <c r="D237" s="3">
        <v>214</v>
      </c>
      <c r="E237" s="4">
        <f t="shared" ref="E237:E300" si="4">C237+D237</f>
        <v>1185</v>
      </c>
      <c r="F237" s="3"/>
      <c r="G237" s="5"/>
      <c r="H237" s="4"/>
      <c r="I237" s="2">
        <v>155</v>
      </c>
      <c r="J237" s="3"/>
      <c r="K237" s="7"/>
    </row>
    <row r="238" spans="1:11">
      <c r="A238" s="4">
        <v>838</v>
      </c>
      <c r="B238" s="18" t="s">
        <v>256</v>
      </c>
      <c r="C238" s="2">
        <v>971</v>
      </c>
      <c r="D238" s="3">
        <v>214</v>
      </c>
      <c r="E238" s="4">
        <f t="shared" si="4"/>
        <v>1185</v>
      </c>
      <c r="F238" s="3"/>
      <c r="G238" s="5"/>
      <c r="H238" s="4"/>
      <c r="I238" s="2">
        <v>659</v>
      </c>
      <c r="J238" s="3"/>
      <c r="K238" s="7"/>
    </row>
    <row r="239" spans="1:11">
      <c r="A239" s="4">
        <v>839</v>
      </c>
      <c r="B239" s="18" t="s">
        <v>257</v>
      </c>
      <c r="C239" s="2">
        <v>971</v>
      </c>
      <c r="D239" s="3">
        <v>214</v>
      </c>
      <c r="E239" s="4">
        <f t="shared" si="4"/>
        <v>1185</v>
      </c>
      <c r="F239" s="3"/>
      <c r="G239" s="5"/>
      <c r="H239" s="4"/>
      <c r="I239" s="2">
        <v>155</v>
      </c>
      <c r="J239" s="3"/>
      <c r="K239" s="7"/>
    </row>
    <row r="240" spans="1:11">
      <c r="A240" s="4">
        <v>840</v>
      </c>
      <c r="B240" s="18" t="s">
        <v>258</v>
      </c>
      <c r="C240" s="2">
        <v>971</v>
      </c>
      <c r="D240" s="3">
        <v>214</v>
      </c>
      <c r="E240" s="4">
        <f t="shared" si="4"/>
        <v>1185</v>
      </c>
      <c r="F240" s="3"/>
      <c r="G240" s="5"/>
      <c r="H240" s="4"/>
      <c r="I240" s="2">
        <v>155</v>
      </c>
      <c r="J240" s="3"/>
      <c r="K240" s="7"/>
    </row>
    <row r="241" spans="1:11" ht="25.5">
      <c r="A241" s="4">
        <v>841</v>
      </c>
      <c r="B241" s="18" t="s">
        <v>259</v>
      </c>
      <c r="C241" s="2">
        <v>1300</v>
      </c>
      <c r="D241" s="3">
        <v>127</v>
      </c>
      <c r="E241" s="4">
        <f t="shared" si="4"/>
        <v>1427</v>
      </c>
      <c r="F241" s="3">
        <v>388</v>
      </c>
      <c r="G241" s="5">
        <v>388</v>
      </c>
      <c r="H241" s="4"/>
      <c r="I241" s="2"/>
      <c r="J241" s="3"/>
      <c r="K241" s="7"/>
    </row>
    <row r="242" spans="1:11">
      <c r="A242" s="4">
        <v>842</v>
      </c>
      <c r="B242" s="18" t="s">
        <v>260</v>
      </c>
      <c r="C242" s="2">
        <v>1500</v>
      </c>
      <c r="D242" s="3">
        <v>101</v>
      </c>
      <c r="E242" s="4">
        <f t="shared" si="4"/>
        <v>1601</v>
      </c>
      <c r="F242" s="3">
        <v>518</v>
      </c>
      <c r="G242" s="5">
        <v>647</v>
      </c>
      <c r="H242" s="4"/>
      <c r="I242" s="2"/>
      <c r="J242" s="3"/>
      <c r="K242" s="9">
        <v>744</v>
      </c>
    </row>
    <row r="243" spans="1:11">
      <c r="A243" s="4">
        <v>843</v>
      </c>
      <c r="B243" s="18" t="s">
        <v>261</v>
      </c>
      <c r="C243" s="2">
        <v>1250</v>
      </c>
      <c r="D243" s="3">
        <v>134</v>
      </c>
      <c r="E243" s="4">
        <f t="shared" si="4"/>
        <v>1384</v>
      </c>
      <c r="F243" s="3">
        <v>310.7</v>
      </c>
      <c r="G243" s="5">
        <v>388</v>
      </c>
      <c r="H243" s="4"/>
      <c r="I243" s="2"/>
      <c r="J243" s="3"/>
      <c r="K243" s="9">
        <v>580</v>
      </c>
    </row>
    <row r="244" spans="1:11">
      <c r="A244" s="4">
        <v>844</v>
      </c>
      <c r="B244" s="18" t="s">
        <v>262</v>
      </c>
      <c r="C244" s="2">
        <v>1660</v>
      </c>
      <c r="D244" s="3">
        <v>80</v>
      </c>
      <c r="E244" s="4">
        <f t="shared" si="4"/>
        <v>1740</v>
      </c>
      <c r="F244" s="3"/>
      <c r="G244" s="5"/>
      <c r="H244" s="4"/>
      <c r="I244" s="2"/>
      <c r="J244" s="3"/>
      <c r="K244" s="7"/>
    </row>
    <row r="245" spans="1:11">
      <c r="A245" s="4">
        <v>847</v>
      </c>
      <c r="B245" s="18" t="s">
        <v>263</v>
      </c>
      <c r="C245" s="2">
        <v>971</v>
      </c>
      <c r="D245" s="3">
        <v>414.7</v>
      </c>
      <c r="E245" s="4">
        <f t="shared" si="4"/>
        <v>1385.7</v>
      </c>
      <c r="F245" s="3"/>
      <c r="G245" s="5"/>
      <c r="H245" s="4"/>
      <c r="I245" s="2"/>
      <c r="J245" s="3"/>
      <c r="K245" s="7"/>
    </row>
    <row r="246" spans="1:11">
      <c r="A246" s="4">
        <v>848</v>
      </c>
      <c r="B246" s="18" t="s">
        <v>264</v>
      </c>
      <c r="C246" s="2">
        <v>971</v>
      </c>
      <c r="D246" s="3">
        <v>214</v>
      </c>
      <c r="E246" s="4">
        <f t="shared" si="4"/>
        <v>1185</v>
      </c>
      <c r="F246" s="3"/>
      <c r="G246" s="5"/>
      <c r="H246" s="4"/>
      <c r="I246" s="2">
        <v>155</v>
      </c>
      <c r="J246" s="3"/>
      <c r="K246" s="7"/>
    </row>
    <row r="247" spans="1:11">
      <c r="A247" s="4">
        <v>849</v>
      </c>
      <c r="B247" s="18" t="s">
        <v>265</v>
      </c>
      <c r="C247" s="2">
        <v>971</v>
      </c>
      <c r="D247" s="3">
        <v>414.7</v>
      </c>
      <c r="E247" s="4">
        <f t="shared" si="4"/>
        <v>1385.7</v>
      </c>
      <c r="F247" s="3"/>
      <c r="G247" s="5"/>
      <c r="H247" s="4"/>
      <c r="I247" s="2"/>
      <c r="J247" s="3"/>
      <c r="K247" s="7"/>
    </row>
    <row r="248" spans="1:11">
      <c r="A248" s="4">
        <v>850</v>
      </c>
      <c r="B248" s="18" t="s">
        <v>266</v>
      </c>
      <c r="C248" s="2">
        <v>3146</v>
      </c>
      <c r="D248" s="3">
        <v>0</v>
      </c>
      <c r="E248" s="4">
        <f t="shared" si="4"/>
        <v>3146</v>
      </c>
      <c r="F248" s="3">
        <v>621.29999999999995</v>
      </c>
      <c r="G248" s="5">
        <v>776</v>
      </c>
      <c r="H248" s="4"/>
      <c r="I248" s="2"/>
      <c r="J248" s="3"/>
      <c r="K248" s="7"/>
    </row>
    <row r="249" spans="1:11">
      <c r="A249" s="4">
        <v>851</v>
      </c>
      <c r="B249" s="18" t="s">
        <v>267</v>
      </c>
      <c r="C249" s="2">
        <v>2913</v>
      </c>
      <c r="D249" s="3">
        <v>0</v>
      </c>
      <c r="E249" s="4">
        <f t="shared" si="4"/>
        <v>2913</v>
      </c>
      <c r="F249" s="3">
        <v>776</v>
      </c>
      <c r="G249" s="5">
        <v>776</v>
      </c>
      <c r="H249" s="4">
        <v>20</v>
      </c>
      <c r="I249" s="2"/>
      <c r="J249" s="3"/>
      <c r="K249" s="7"/>
    </row>
    <row r="250" spans="1:11">
      <c r="A250" s="4">
        <v>852</v>
      </c>
      <c r="B250" s="18" t="s">
        <v>268</v>
      </c>
      <c r="C250" s="2">
        <v>2913</v>
      </c>
      <c r="D250" s="3">
        <v>0</v>
      </c>
      <c r="E250" s="4">
        <f t="shared" si="4"/>
        <v>2913</v>
      </c>
      <c r="F250" s="3">
        <v>776</v>
      </c>
      <c r="G250" s="5">
        <v>776</v>
      </c>
      <c r="H250" s="4"/>
      <c r="I250" s="2"/>
      <c r="J250" s="3"/>
      <c r="K250" s="7"/>
    </row>
    <row r="251" spans="1:11">
      <c r="A251" s="4">
        <v>853</v>
      </c>
      <c r="B251" s="18" t="s">
        <v>269</v>
      </c>
      <c r="C251" s="2">
        <v>2913</v>
      </c>
      <c r="D251" s="3">
        <v>0</v>
      </c>
      <c r="E251" s="4">
        <f t="shared" si="4"/>
        <v>2913</v>
      </c>
      <c r="F251" s="3">
        <v>776</v>
      </c>
      <c r="G251" s="5">
        <v>776</v>
      </c>
      <c r="H251" s="4">
        <v>17</v>
      </c>
      <c r="I251" s="2"/>
      <c r="J251" s="3"/>
      <c r="K251" s="7"/>
    </row>
    <row r="252" spans="1:11">
      <c r="A252" s="4">
        <v>855</v>
      </c>
      <c r="B252" s="18" t="s">
        <v>270</v>
      </c>
      <c r="C252" s="2">
        <v>971</v>
      </c>
      <c r="D252" s="3">
        <v>414.7</v>
      </c>
      <c r="E252" s="4">
        <f t="shared" si="4"/>
        <v>1385.7</v>
      </c>
      <c r="F252" s="3"/>
      <c r="G252" s="5"/>
      <c r="H252" s="4"/>
      <c r="I252" s="2"/>
      <c r="J252" s="3"/>
      <c r="K252" s="7"/>
    </row>
    <row r="253" spans="1:11">
      <c r="A253" s="4">
        <v>856</v>
      </c>
      <c r="B253" s="18" t="s">
        <v>271</v>
      </c>
      <c r="C253" s="2">
        <v>2913</v>
      </c>
      <c r="D253" s="3">
        <v>0</v>
      </c>
      <c r="E253" s="4">
        <f t="shared" si="4"/>
        <v>2913</v>
      </c>
      <c r="F253" s="3"/>
      <c r="G253" s="5"/>
      <c r="H253" s="4"/>
      <c r="I253" s="2"/>
      <c r="J253" s="3"/>
      <c r="K253" s="7"/>
    </row>
    <row r="254" spans="1:11">
      <c r="A254" s="4">
        <v>857</v>
      </c>
      <c r="B254" s="18" t="s">
        <v>272</v>
      </c>
      <c r="C254" s="2">
        <v>2913</v>
      </c>
      <c r="D254" s="3">
        <v>0</v>
      </c>
      <c r="E254" s="4">
        <f t="shared" si="4"/>
        <v>2913</v>
      </c>
      <c r="F254" s="3">
        <v>776</v>
      </c>
      <c r="G254" s="5" t="s">
        <v>66</v>
      </c>
      <c r="H254" s="4"/>
      <c r="I254" s="2"/>
      <c r="J254" s="3"/>
      <c r="K254" s="7"/>
    </row>
    <row r="255" spans="1:11">
      <c r="A255" s="4">
        <v>858</v>
      </c>
      <c r="B255" s="18" t="s">
        <v>273</v>
      </c>
      <c r="C255" s="2">
        <v>4428</v>
      </c>
      <c r="D255" s="3">
        <v>0</v>
      </c>
      <c r="E255" s="4">
        <f t="shared" si="4"/>
        <v>4428</v>
      </c>
      <c r="F255" s="3"/>
      <c r="G255" s="5"/>
      <c r="H255" s="4"/>
      <c r="I255" s="2"/>
      <c r="J255" s="3"/>
      <c r="K255" s="7"/>
    </row>
    <row r="256" spans="1:11">
      <c r="A256" s="4">
        <v>859</v>
      </c>
      <c r="B256" s="18" t="s">
        <v>274</v>
      </c>
      <c r="C256" s="2">
        <v>4000</v>
      </c>
      <c r="D256" s="3">
        <v>0</v>
      </c>
      <c r="E256" s="4">
        <f t="shared" si="4"/>
        <v>4000</v>
      </c>
      <c r="F256" s="3"/>
      <c r="G256" s="5"/>
      <c r="H256" s="4"/>
      <c r="I256" s="2"/>
      <c r="J256" s="3"/>
      <c r="K256" s="7"/>
    </row>
    <row r="257" spans="1:11">
      <c r="A257" s="4">
        <v>860</v>
      </c>
      <c r="B257" s="18" t="s">
        <v>275</v>
      </c>
      <c r="C257" s="2">
        <v>3572</v>
      </c>
      <c r="D257" s="3">
        <v>0</v>
      </c>
      <c r="E257" s="4">
        <f t="shared" si="4"/>
        <v>3572</v>
      </c>
      <c r="F257" s="3"/>
      <c r="G257" s="5"/>
      <c r="H257" s="4"/>
      <c r="I257" s="2"/>
      <c r="J257" s="3"/>
      <c r="K257" s="7"/>
    </row>
    <row r="258" spans="1:11">
      <c r="A258" s="4">
        <v>861</v>
      </c>
      <c r="B258" s="18" t="s">
        <v>276</v>
      </c>
      <c r="C258" s="2">
        <v>3144</v>
      </c>
      <c r="D258" s="3">
        <v>0</v>
      </c>
      <c r="E258" s="4">
        <f t="shared" si="4"/>
        <v>3144</v>
      </c>
      <c r="F258" s="3"/>
      <c r="G258" s="5"/>
      <c r="H258" s="4"/>
      <c r="I258" s="2"/>
      <c r="J258" s="3"/>
      <c r="K258" s="7"/>
    </row>
    <row r="259" spans="1:11">
      <c r="A259" s="4">
        <v>862</v>
      </c>
      <c r="B259" s="18" t="s">
        <v>277</v>
      </c>
      <c r="C259" s="2">
        <v>2856</v>
      </c>
      <c r="D259" s="3">
        <v>0</v>
      </c>
      <c r="E259" s="4">
        <f t="shared" si="4"/>
        <v>2856</v>
      </c>
      <c r="F259" s="3"/>
      <c r="G259" s="5"/>
      <c r="H259" s="4"/>
      <c r="I259" s="2"/>
      <c r="J259" s="3"/>
      <c r="K259" s="7"/>
    </row>
    <row r="260" spans="1:11">
      <c r="A260" s="4">
        <v>863</v>
      </c>
      <c r="B260" s="18" t="s">
        <v>278</v>
      </c>
      <c r="C260" s="2">
        <v>1428</v>
      </c>
      <c r="D260" s="3">
        <v>110</v>
      </c>
      <c r="E260" s="4">
        <f t="shared" si="4"/>
        <v>1538</v>
      </c>
      <c r="F260" s="3"/>
      <c r="G260" s="5"/>
      <c r="H260" s="4"/>
      <c r="I260" s="2"/>
      <c r="J260" s="3"/>
      <c r="K260" s="7"/>
    </row>
    <row r="261" spans="1:11">
      <c r="A261" s="4">
        <v>864</v>
      </c>
      <c r="B261" s="18" t="s">
        <v>279</v>
      </c>
      <c r="C261" s="2">
        <v>1572</v>
      </c>
      <c r="D261" s="3">
        <v>91</v>
      </c>
      <c r="E261" s="4">
        <f t="shared" si="4"/>
        <v>1663</v>
      </c>
      <c r="F261" s="3"/>
      <c r="G261" s="5"/>
      <c r="H261" s="4"/>
      <c r="I261" s="2"/>
      <c r="J261" s="3"/>
      <c r="K261" s="7"/>
    </row>
    <row r="262" spans="1:11">
      <c r="A262" s="4">
        <v>868</v>
      </c>
      <c r="B262" s="18" t="s">
        <v>280</v>
      </c>
      <c r="C262" s="2">
        <v>2214</v>
      </c>
      <c r="D262" s="3">
        <v>8</v>
      </c>
      <c r="E262" s="4">
        <f t="shared" si="4"/>
        <v>2222</v>
      </c>
      <c r="F262" s="3"/>
      <c r="G262" s="5"/>
      <c r="H262" s="4"/>
      <c r="I262" s="2"/>
      <c r="J262" s="3"/>
      <c r="K262" s="7"/>
    </row>
    <row r="263" spans="1:11">
      <c r="A263" s="4">
        <v>869</v>
      </c>
      <c r="B263" s="18" t="s">
        <v>281</v>
      </c>
      <c r="C263" s="2">
        <v>2000</v>
      </c>
      <c r="D263" s="3">
        <v>36</v>
      </c>
      <c r="E263" s="4">
        <f t="shared" si="4"/>
        <v>2036</v>
      </c>
      <c r="F263" s="3"/>
      <c r="G263" s="5"/>
      <c r="H263" s="4"/>
      <c r="I263" s="2"/>
      <c r="J263" s="3"/>
      <c r="K263" s="7"/>
    </row>
    <row r="264" spans="1:11">
      <c r="A264" s="4">
        <v>870</v>
      </c>
      <c r="B264" s="18" t="s">
        <v>282</v>
      </c>
      <c r="C264" s="2">
        <v>1786</v>
      </c>
      <c r="D264" s="3">
        <v>64</v>
      </c>
      <c r="E264" s="4">
        <f t="shared" si="4"/>
        <v>1850</v>
      </c>
      <c r="F264" s="3"/>
      <c r="G264" s="5"/>
      <c r="H264" s="4"/>
      <c r="I264" s="2"/>
      <c r="J264" s="3"/>
      <c r="K264" s="7"/>
    </row>
    <row r="265" spans="1:11">
      <c r="A265" s="4">
        <v>871</v>
      </c>
      <c r="B265" s="18" t="s">
        <v>283</v>
      </c>
      <c r="C265" s="2">
        <v>1107</v>
      </c>
      <c r="D265" s="3">
        <v>152</v>
      </c>
      <c r="E265" s="4">
        <f t="shared" si="4"/>
        <v>1259</v>
      </c>
      <c r="F265" s="3"/>
      <c r="G265" s="5"/>
      <c r="H265" s="4"/>
      <c r="I265" s="2"/>
      <c r="J265" s="3"/>
      <c r="K265" s="7"/>
    </row>
    <row r="266" spans="1:11">
      <c r="A266" s="4">
        <v>872</v>
      </c>
      <c r="B266" s="18" t="s">
        <v>284</v>
      </c>
      <c r="C266" s="2">
        <v>1000</v>
      </c>
      <c r="D266" s="3">
        <v>166</v>
      </c>
      <c r="E266" s="4">
        <f t="shared" si="4"/>
        <v>1166</v>
      </c>
      <c r="F266" s="3"/>
      <c r="G266" s="5"/>
      <c r="H266" s="4"/>
      <c r="I266" s="2"/>
      <c r="J266" s="3"/>
      <c r="K266" s="7"/>
    </row>
    <row r="267" spans="1:11">
      <c r="A267" s="4">
        <v>873</v>
      </c>
      <c r="B267" s="18" t="s">
        <v>285</v>
      </c>
      <c r="C267" s="2">
        <v>893</v>
      </c>
      <c r="D267" s="3">
        <v>414.7</v>
      </c>
      <c r="E267" s="4">
        <f t="shared" si="4"/>
        <v>1307.7</v>
      </c>
      <c r="F267" s="3"/>
      <c r="G267" s="5"/>
      <c r="H267" s="4"/>
      <c r="I267" s="2"/>
      <c r="J267" s="3"/>
      <c r="K267" s="7"/>
    </row>
    <row r="268" spans="1:11">
      <c r="A268" s="4">
        <v>874</v>
      </c>
      <c r="B268" s="18" t="s">
        <v>286</v>
      </c>
      <c r="C268" s="2">
        <v>786</v>
      </c>
      <c r="D268" s="3">
        <v>414.7</v>
      </c>
      <c r="E268" s="4">
        <f t="shared" si="4"/>
        <v>1200.7</v>
      </c>
      <c r="F268" s="3"/>
      <c r="G268" s="5"/>
      <c r="H268" s="4"/>
      <c r="I268" s="2"/>
      <c r="J268" s="3"/>
      <c r="K268" s="7"/>
    </row>
    <row r="269" spans="1:11">
      <c r="A269" s="4">
        <v>875</v>
      </c>
      <c r="B269" s="18" t="s">
        <v>287</v>
      </c>
      <c r="C269" s="2">
        <v>714</v>
      </c>
      <c r="D269" s="3">
        <v>414.7</v>
      </c>
      <c r="E269" s="4">
        <f t="shared" si="4"/>
        <v>1128.7</v>
      </c>
      <c r="F269" s="3"/>
      <c r="G269" s="5"/>
      <c r="H269" s="4"/>
      <c r="I269" s="2"/>
      <c r="J269" s="3"/>
      <c r="K269" s="7"/>
    </row>
    <row r="270" spans="1:11">
      <c r="A270" s="4">
        <v>880</v>
      </c>
      <c r="B270" s="18" t="s">
        <v>288</v>
      </c>
      <c r="C270" s="2">
        <v>2913</v>
      </c>
      <c r="D270" s="3">
        <v>0</v>
      </c>
      <c r="E270" s="4">
        <f t="shared" si="4"/>
        <v>2913</v>
      </c>
      <c r="F270" s="3"/>
      <c r="G270" s="5"/>
      <c r="H270" s="4"/>
      <c r="I270" s="2"/>
      <c r="J270" s="3"/>
      <c r="K270" s="7"/>
    </row>
    <row r="271" spans="1:11">
      <c r="A271" s="4">
        <v>881</v>
      </c>
      <c r="B271" s="18" t="s">
        <v>289</v>
      </c>
      <c r="C271" s="2">
        <v>2913</v>
      </c>
      <c r="D271" s="3">
        <v>0</v>
      </c>
      <c r="E271" s="4">
        <f t="shared" si="4"/>
        <v>2913</v>
      </c>
      <c r="F271" s="3"/>
      <c r="G271" s="5"/>
      <c r="H271" s="4"/>
      <c r="I271" s="2"/>
      <c r="J271" s="3"/>
      <c r="K271" s="7"/>
    </row>
    <row r="272" spans="1:11">
      <c r="A272" s="4">
        <v>882</v>
      </c>
      <c r="B272" s="18" t="s">
        <v>290</v>
      </c>
      <c r="C272" s="2">
        <v>2913</v>
      </c>
      <c r="D272" s="3">
        <v>0</v>
      </c>
      <c r="E272" s="4">
        <f t="shared" si="4"/>
        <v>2913</v>
      </c>
      <c r="F272" s="3"/>
      <c r="G272" s="5"/>
      <c r="H272" s="4"/>
      <c r="I272" s="2"/>
      <c r="J272" s="3"/>
      <c r="K272" s="7"/>
    </row>
    <row r="273" spans="1:11">
      <c r="A273" s="4">
        <v>883</v>
      </c>
      <c r="B273" s="18" t="s">
        <v>291</v>
      </c>
      <c r="C273" s="2">
        <v>2220</v>
      </c>
      <c r="D273" s="3">
        <v>7</v>
      </c>
      <c r="E273" s="4">
        <f t="shared" si="4"/>
        <v>2227</v>
      </c>
      <c r="F273" s="3">
        <v>521.4</v>
      </c>
      <c r="G273" s="5">
        <v>521.4</v>
      </c>
      <c r="H273" s="4"/>
      <c r="I273" s="2"/>
      <c r="J273" s="3"/>
      <c r="K273" s="7"/>
    </row>
    <row r="274" spans="1:11">
      <c r="A274" s="4">
        <v>884</v>
      </c>
      <c r="B274" s="18" t="s">
        <v>292</v>
      </c>
      <c r="C274" s="2">
        <v>2100</v>
      </c>
      <c r="D274" s="3">
        <v>23</v>
      </c>
      <c r="E274" s="4">
        <f t="shared" si="4"/>
        <v>2123</v>
      </c>
      <c r="F274" s="3">
        <v>521.4</v>
      </c>
      <c r="G274" s="5">
        <v>521.4</v>
      </c>
      <c r="H274" s="4"/>
      <c r="I274" s="2"/>
      <c r="J274" s="3"/>
      <c r="K274" s="7"/>
    </row>
    <row r="275" spans="1:11">
      <c r="A275" s="4">
        <v>885</v>
      </c>
      <c r="B275" s="18" t="s">
        <v>293</v>
      </c>
      <c r="C275" s="2">
        <v>1850</v>
      </c>
      <c r="D275" s="3">
        <v>55</v>
      </c>
      <c r="E275" s="4">
        <f t="shared" si="4"/>
        <v>1905</v>
      </c>
      <c r="F275" s="3">
        <v>434.5</v>
      </c>
      <c r="G275" s="5">
        <v>434.5</v>
      </c>
      <c r="H275" s="4"/>
      <c r="I275" s="2"/>
      <c r="J275" s="3"/>
      <c r="K275" s="7"/>
    </row>
    <row r="276" spans="1:11">
      <c r="A276" s="4">
        <v>886</v>
      </c>
      <c r="B276" s="18" t="s">
        <v>294</v>
      </c>
      <c r="C276" s="2">
        <v>1850</v>
      </c>
      <c r="D276" s="3">
        <v>55</v>
      </c>
      <c r="E276" s="4">
        <f t="shared" si="4"/>
        <v>1905</v>
      </c>
      <c r="F276" s="3">
        <v>434.5</v>
      </c>
      <c r="G276" s="5">
        <v>434.5</v>
      </c>
      <c r="H276" s="4"/>
      <c r="I276" s="2"/>
      <c r="J276" s="3"/>
      <c r="K276" s="7"/>
    </row>
    <row r="277" spans="1:11">
      <c r="A277" s="4">
        <v>887</v>
      </c>
      <c r="B277" s="18" t="s">
        <v>295</v>
      </c>
      <c r="C277" s="2">
        <v>1580</v>
      </c>
      <c r="D277" s="3">
        <v>90</v>
      </c>
      <c r="E277" s="4">
        <f t="shared" si="4"/>
        <v>1670</v>
      </c>
      <c r="F277" s="3">
        <v>347.6</v>
      </c>
      <c r="G277" s="5">
        <v>347.6</v>
      </c>
      <c r="H277" s="4"/>
      <c r="I277" s="2"/>
      <c r="J277" s="3"/>
      <c r="K277" s="7"/>
    </row>
    <row r="278" spans="1:11">
      <c r="A278" s="4">
        <v>888</v>
      </c>
      <c r="B278" s="18" t="s">
        <v>296</v>
      </c>
      <c r="C278" s="2">
        <v>1564</v>
      </c>
      <c r="D278" s="3">
        <v>93</v>
      </c>
      <c r="E278" s="4">
        <f t="shared" si="4"/>
        <v>1657</v>
      </c>
      <c r="F278" s="3">
        <v>347.6</v>
      </c>
      <c r="G278" s="5">
        <v>347.6</v>
      </c>
      <c r="H278" s="4"/>
      <c r="I278" s="2"/>
      <c r="J278" s="3"/>
      <c r="K278" s="7"/>
    </row>
    <row r="279" spans="1:11">
      <c r="A279" s="4">
        <v>889</v>
      </c>
      <c r="B279" s="18" t="s">
        <v>297</v>
      </c>
      <c r="C279" s="2">
        <v>1250</v>
      </c>
      <c r="D279" s="3">
        <v>134</v>
      </c>
      <c r="E279" s="4">
        <f t="shared" si="4"/>
        <v>1384</v>
      </c>
      <c r="F279" s="3"/>
      <c r="G279" s="5"/>
      <c r="H279" s="4"/>
      <c r="I279" s="2"/>
      <c r="J279" s="3"/>
      <c r="K279" s="7"/>
    </row>
    <row r="280" spans="1:11">
      <c r="A280" s="4">
        <v>890</v>
      </c>
      <c r="B280" s="18" t="s">
        <v>298</v>
      </c>
      <c r="C280" s="2">
        <v>971</v>
      </c>
      <c r="D280" s="3">
        <v>414.7</v>
      </c>
      <c r="E280" s="4">
        <f t="shared" si="4"/>
        <v>1385.7</v>
      </c>
      <c r="F280" s="3"/>
      <c r="G280" s="5"/>
      <c r="H280" s="4"/>
      <c r="I280" s="2"/>
      <c r="J280" s="3"/>
      <c r="K280" s="7"/>
    </row>
    <row r="281" spans="1:11">
      <c r="A281" s="4">
        <v>891</v>
      </c>
      <c r="B281" s="18" t="s">
        <v>299</v>
      </c>
      <c r="C281" s="2">
        <v>971</v>
      </c>
      <c r="D281" s="3">
        <v>414.7</v>
      </c>
      <c r="E281" s="4">
        <f t="shared" si="4"/>
        <v>1385.7</v>
      </c>
      <c r="F281" s="3"/>
      <c r="G281" s="5"/>
      <c r="H281" s="4"/>
      <c r="I281" s="2"/>
      <c r="J281" s="3"/>
      <c r="K281" s="7"/>
    </row>
    <row r="282" spans="1:11">
      <c r="A282" s="4">
        <v>892</v>
      </c>
      <c r="B282" s="18" t="s">
        <v>300</v>
      </c>
      <c r="C282" s="2">
        <v>951</v>
      </c>
      <c r="D282" s="3">
        <v>414.7</v>
      </c>
      <c r="E282" s="4">
        <f t="shared" si="4"/>
        <v>1365.7</v>
      </c>
      <c r="F282" s="3"/>
      <c r="G282" s="5"/>
      <c r="H282" s="4"/>
      <c r="I282" s="2"/>
      <c r="J282" s="3"/>
      <c r="K282" s="7"/>
    </row>
    <row r="283" spans="1:11">
      <c r="A283" s="4">
        <v>893</v>
      </c>
      <c r="B283" s="18" t="s">
        <v>301</v>
      </c>
      <c r="C283" s="2">
        <v>922</v>
      </c>
      <c r="D283" s="3">
        <v>414.7</v>
      </c>
      <c r="E283" s="4">
        <f t="shared" si="4"/>
        <v>1336.7</v>
      </c>
      <c r="F283" s="3"/>
      <c r="G283" s="5"/>
      <c r="H283" s="4"/>
      <c r="I283" s="2"/>
      <c r="J283" s="3"/>
      <c r="K283" s="7"/>
    </row>
    <row r="284" spans="1:11">
      <c r="A284" s="4">
        <v>903</v>
      </c>
      <c r="B284" s="18" t="s">
        <v>302</v>
      </c>
      <c r="C284" s="2">
        <v>971</v>
      </c>
      <c r="D284" s="3">
        <v>414.7</v>
      </c>
      <c r="E284" s="4">
        <f t="shared" si="4"/>
        <v>1385.7</v>
      </c>
      <c r="F284" s="3"/>
      <c r="G284" s="5"/>
      <c r="H284" s="4">
        <v>150</v>
      </c>
      <c r="I284" s="2"/>
      <c r="J284" s="3"/>
      <c r="K284" s="7"/>
    </row>
    <row r="285" spans="1:11">
      <c r="A285" s="4">
        <v>904</v>
      </c>
      <c r="B285" s="18" t="s">
        <v>303</v>
      </c>
      <c r="C285" s="2">
        <v>971</v>
      </c>
      <c r="D285" s="3">
        <v>414.7</v>
      </c>
      <c r="E285" s="4">
        <f t="shared" si="4"/>
        <v>1385.7</v>
      </c>
      <c r="F285" s="3"/>
      <c r="G285" s="5"/>
      <c r="H285" s="4">
        <v>150</v>
      </c>
      <c r="I285" s="2"/>
      <c r="J285" s="3"/>
      <c r="K285" s="7"/>
    </row>
    <row r="286" spans="1:11">
      <c r="A286" s="4">
        <v>905</v>
      </c>
      <c r="B286" s="18" t="s">
        <v>304</v>
      </c>
      <c r="C286" s="2">
        <v>971</v>
      </c>
      <c r="D286" s="3">
        <v>414.7</v>
      </c>
      <c r="E286" s="4">
        <f t="shared" si="4"/>
        <v>1385.7</v>
      </c>
      <c r="F286" s="3"/>
      <c r="G286" s="5"/>
      <c r="H286" s="4">
        <v>150</v>
      </c>
      <c r="I286" s="2"/>
      <c r="J286" s="3"/>
      <c r="K286" s="7"/>
    </row>
    <row r="287" spans="1:11">
      <c r="A287" s="4">
        <v>906</v>
      </c>
      <c r="B287" s="18" t="s">
        <v>305</v>
      </c>
      <c r="C287" s="2">
        <v>1942</v>
      </c>
      <c r="D287" s="3">
        <v>43</v>
      </c>
      <c r="E287" s="4">
        <f t="shared" si="4"/>
        <v>1985</v>
      </c>
      <c r="F287" s="3">
        <v>517.29999999999995</v>
      </c>
      <c r="G287" s="5">
        <v>647</v>
      </c>
      <c r="H287" s="4"/>
      <c r="I287" s="2"/>
      <c r="J287" s="8">
        <v>782</v>
      </c>
      <c r="K287" s="7"/>
    </row>
    <row r="288" spans="1:11">
      <c r="A288" s="4">
        <v>907</v>
      </c>
      <c r="B288" s="18" t="s">
        <v>306</v>
      </c>
      <c r="C288" s="2">
        <v>1782</v>
      </c>
      <c r="D288" s="3">
        <v>64</v>
      </c>
      <c r="E288" s="4">
        <f t="shared" si="4"/>
        <v>1846</v>
      </c>
      <c r="F288" s="3">
        <v>465.3</v>
      </c>
      <c r="G288" s="5">
        <v>582</v>
      </c>
      <c r="H288" s="4"/>
      <c r="I288" s="2"/>
      <c r="J288" s="8">
        <v>782</v>
      </c>
      <c r="K288" s="7"/>
    </row>
    <row r="289" spans="1:11">
      <c r="A289" s="4">
        <v>908</v>
      </c>
      <c r="B289" s="18" t="s">
        <v>307</v>
      </c>
      <c r="C289" s="2">
        <v>1692</v>
      </c>
      <c r="D289" s="3">
        <v>76</v>
      </c>
      <c r="E289" s="4">
        <f t="shared" si="4"/>
        <v>1768</v>
      </c>
      <c r="F289" s="3">
        <v>362.7</v>
      </c>
      <c r="G289" s="5" t="s">
        <v>79</v>
      </c>
      <c r="H289" s="4"/>
      <c r="I289" s="2"/>
      <c r="J289" s="3"/>
      <c r="K289" s="7"/>
    </row>
    <row r="290" spans="1:11">
      <c r="A290" s="4">
        <v>909</v>
      </c>
      <c r="B290" s="18" t="s">
        <v>308</v>
      </c>
      <c r="C290" s="2">
        <v>1592</v>
      </c>
      <c r="D290" s="3">
        <v>89</v>
      </c>
      <c r="E290" s="4">
        <f t="shared" si="4"/>
        <v>1681</v>
      </c>
      <c r="F290" s="3">
        <v>465.3</v>
      </c>
      <c r="G290" s="5">
        <v>388</v>
      </c>
      <c r="H290" s="4"/>
      <c r="I290" s="2"/>
      <c r="J290" s="3"/>
      <c r="K290" s="7"/>
    </row>
    <row r="291" spans="1:11">
      <c r="A291" s="4">
        <v>910</v>
      </c>
      <c r="B291" s="18" t="s">
        <v>309</v>
      </c>
      <c r="C291" s="2">
        <v>1942</v>
      </c>
      <c r="D291" s="3">
        <v>43</v>
      </c>
      <c r="E291" s="4">
        <f t="shared" si="4"/>
        <v>1985</v>
      </c>
      <c r="F291" s="3">
        <v>517.29999999999995</v>
      </c>
      <c r="G291" s="5">
        <v>647</v>
      </c>
      <c r="H291" s="4">
        <v>150</v>
      </c>
      <c r="I291" s="2"/>
      <c r="J291" s="3"/>
      <c r="K291" s="7"/>
    </row>
    <row r="292" spans="1:11">
      <c r="A292" s="4">
        <v>911</v>
      </c>
      <c r="B292" s="18" t="s">
        <v>310</v>
      </c>
      <c r="C292" s="2">
        <v>1592</v>
      </c>
      <c r="D292" s="3">
        <v>89</v>
      </c>
      <c r="E292" s="4">
        <f t="shared" si="4"/>
        <v>1681</v>
      </c>
      <c r="F292" s="3">
        <v>466.7</v>
      </c>
      <c r="G292" s="5">
        <v>582</v>
      </c>
      <c r="H292" s="4"/>
      <c r="I292" s="2"/>
      <c r="J292" s="3"/>
      <c r="K292" s="7"/>
    </row>
    <row r="293" spans="1:11">
      <c r="A293" s="4">
        <v>912</v>
      </c>
      <c r="B293" s="18" t="s">
        <v>311</v>
      </c>
      <c r="C293" s="2">
        <v>1782</v>
      </c>
      <c r="D293" s="3">
        <v>64</v>
      </c>
      <c r="E293" s="4">
        <f t="shared" si="4"/>
        <v>1846</v>
      </c>
      <c r="F293" s="3">
        <v>465.3</v>
      </c>
      <c r="G293" s="5">
        <v>582</v>
      </c>
      <c r="H293" s="4">
        <v>17</v>
      </c>
      <c r="I293" s="2"/>
      <c r="J293" s="3"/>
      <c r="K293" s="7"/>
    </row>
    <row r="294" spans="1:11">
      <c r="A294" s="4">
        <v>913</v>
      </c>
      <c r="B294" s="18" t="s">
        <v>312</v>
      </c>
      <c r="C294" s="2">
        <v>1700</v>
      </c>
      <c r="D294" s="3">
        <v>75</v>
      </c>
      <c r="E294" s="4">
        <f t="shared" si="4"/>
        <v>1775</v>
      </c>
      <c r="F294" s="3">
        <v>413.3</v>
      </c>
      <c r="G294" s="5">
        <v>516</v>
      </c>
      <c r="H294" s="4"/>
      <c r="I294" s="2"/>
      <c r="J294" s="8">
        <v>769</v>
      </c>
      <c r="K294" s="7"/>
    </row>
    <row r="295" spans="1:11">
      <c r="A295" s="4">
        <v>914</v>
      </c>
      <c r="B295" s="18" t="s">
        <v>313</v>
      </c>
      <c r="C295" s="2">
        <v>1600</v>
      </c>
      <c r="D295" s="3">
        <v>88</v>
      </c>
      <c r="E295" s="4">
        <f t="shared" si="4"/>
        <v>1688</v>
      </c>
      <c r="F295" s="3">
        <v>309.3</v>
      </c>
      <c r="G295" s="5">
        <v>388</v>
      </c>
      <c r="H295" s="4"/>
      <c r="I295" s="2"/>
      <c r="J295" s="8">
        <v>738</v>
      </c>
      <c r="K295" s="7"/>
    </row>
    <row r="296" spans="1:11">
      <c r="A296" s="4">
        <v>915</v>
      </c>
      <c r="B296" s="18" t="s">
        <v>314</v>
      </c>
      <c r="C296" s="2">
        <v>1700</v>
      </c>
      <c r="D296" s="3">
        <v>75</v>
      </c>
      <c r="E296" s="4">
        <f t="shared" si="4"/>
        <v>1775</v>
      </c>
      <c r="F296" s="3">
        <v>310.7</v>
      </c>
      <c r="G296" s="5">
        <v>388</v>
      </c>
      <c r="H296" s="4">
        <v>150</v>
      </c>
      <c r="I296" s="2"/>
      <c r="J296" s="3"/>
      <c r="K296" s="7"/>
    </row>
    <row r="297" spans="1:11">
      <c r="A297" s="4">
        <v>916</v>
      </c>
      <c r="B297" s="18" t="s">
        <v>315</v>
      </c>
      <c r="C297" s="2">
        <v>1300</v>
      </c>
      <c r="D297" s="3">
        <v>127</v>
      </c>
      <c r="E297" s="4">
        <f t="shared" si="4"/>
        <v>1427</v>
      </c>
      <c r="F297" s="3">
        <v>310.7</v>
      </c>
      <c r="G297" s="5">
        <v>388</v>
      </c>
      <c r="H297" s="4"/>
      <c r="I297" s="2"/>
      <c r="J297" s="3"/>
      <c r="K297" s="7"/>
    </row>
    <row r="298" spans="1:11">
      <c r="A298" s="4">
        <v>917</v>
      </c>
      <c r="B298" s="18" t="s">
        <v>182</v>
      </c>
      <c r="C298" s="2">
        <v>971</v>
      </c>
      <c r="D298" s="3">
        <v>414.7</v>
      </c>
      <c r="E298" s="4">
        <f t="shared" si="4"/>
        <v>1385.7</v>
      </c>
      <c r="F298" s="3"/>
      <c r="G298" s="5"/>
      <c r="H298" s="4"/>
      <c r="I298" s="2"/>
      <c r="J298" s="3"/>
      <c r="K298" s="7"/>
    </row>
    <row r="299" spans="1:11">
      <c r="A299" s="4">
        <v>918</v>
      </c>
      <c r="B299" s="18" t="s">
        <v>316</v>
      </c>
      <c r="C299" s="2">
        <v>971</v>
      </c>
      <c r="D299" s="3">
        <v>414.7</v>
      </c>
      <c r="E299" s="4">
        <f t="shared" si="4"/>
        <v>1385.7</v>
      </c>
      <c r="F299" s="3"/>
      <c r="G299" s="5"/>
      <c r="H299" s="4">
        <v>150</v>
      </c>
      <c r="I299" s="2"/>
      <c r="J299" s="3"/>
      <c r="K299" s="7"/>
    </row>
    <row r="300" spans="1:11">
      <c r="A300" s="4">
        <v>919</v>
      </c>
      <c r="B300" s="18" t="s">
        <v>317</v>
      </c>
      <c r="C300" s="2">
        <v>971</v>
      </c>
      <c r="D300" s="3">
        <v>414.7</v>
      </c>
      <c r="E300" s="4">
        <f t="shared" si="4"/>
        <v>1385.7</v>
      </c>
      <c r="F300" s="3"/>
      <c r="G300" s="5"/>
      <c r="H300" s="4">
        <v>17</v>
      </c>
      <c r="I300" s="2"/>
      <c r="J300" s="3"/>
      <c r="K300" s="7"/>
    </row>
    <row r="301" spans="1:11">
      <c r="A301" s="4">
        <v>920</v>
      </c>
      <c r="B301" s="18" t="s">
        <v>318</v>
      </c>
      <c r="C301" s="2">
        <v>971</v>
      </c>
      <c r="D301" s="3">
        <v>414.7</v>
      </c>
      <c r="E301" s="4">
        <f t="shared" ref="E301:E340" si="5">C301+D301</f>
        <v>1385.7</v>
      </c>
      <c r="F301" s="3"/>
      <c r="G301" s="5"/>
      <c r="H301" s="4">
        <v>150</v>
      </c>
      <c r="I301" s="2"/>
      <c r="J301" s="3"/>
      <c r="K301" s="7"/>
    </row>
    <row r="302" spans="1:11">
      <c r="A302" s="4">
        <v>921</v>
      </c>
      <c r="B302" s="18" t="s">
        <v>319</v>
      </c>
      <c r="C302" s="2">
        <v>971</v>
      </c>
      <c r="D302" s="3">
        <v>414.7</v>
      </c>
      <c r="E302" s="4">
        <f t="shared" si="5"/>
        <v>1385.7</v>
      </c>
      <c r="F302" s="3"/>
      <c r="G302" s="5"/>
      <c r="H302" s="4"/>
      <c r="I302" s="2"/>
      <c r="J302" s="3"/>
      <c r="K302" s="7"/>
    </row>
    <row r="303" spans="1:11">
      <c r="A303" s="4">
        <v>922</v>
      </c>
      <c r="B303" s="18" t="s">
        <v>320</v>
      </c>
      <c r="C303" s="2">
        <v>971</v>
      </c>
      <c r="D303" s="3">
        <v>414.7</v>
      </c>
      <c r="E303" s="4">
        <f t="shared" si="5"/>
        <v>1385.7</v>
      </c>
      <c r="F303" s="3"/>
      <c r="G303" s="5"/>
      <c r="H303" s="4"/>
      <c r="I303" s="2"/>
      <c r="J303" s="3"/>
      <c r="K303" s="7"/>
    </row>
    <row r="304" spans="1:11">
      <c r="A304" s="4">
        <v>923</v>
      </c>
      <c r="B304" s="18" t="s">
        <v>321</v>
      </c>
      <c r="C304" s="2">
        <v>971</v>
      </c>
      <c r="D304" s="3">
        <v>414.7</v>
      </c>
      <c r="E304" s="4">
        <f t="shared" si="5"/>
        <v>1385.7</v>
      </c>
      <c r="F304" s="3"/>
      <c r="G304" s="5"/>
      <c r="H304" s="4"/>
      <c r="I304" s="2"/>
      <c r="J304" s="3"/>
      <c r="K304" s="7"/>
    </row>
    <row r="305" spans="1:11">
      <c r="A305" s="4">
        <v>924</v>
      </c>
      <c r="B305" s="18" t="s">
        <v>322</v>
      </c>
      <c r="C305" s="2">
        <v>971</v>
      </c>
      <c r="D305" s="3">
        <v>414.7</v>
      </c>
      <c r="E305" s="4">
        <f t="shared" si="5"/>
        <v>1385.7</v>
      </c>
      <c r="F305" s="3"/>
      <c r="G305" s="5"/>
      <c r="H305" s="4">
        <v>150</v>
      </c>
      <c r="I305" s="2"/>
      <c r="J305" s="3"/>
      <c r="K305" s="7"/>
    </row>
    <row r="306" spans="1:11">
      <c r="A306" s="4">
        <v>925</v>
      </c>
      <c r="B306" s="18" t="s">
        <v>97</v>
      </c>
      <c r="C306" s="2">
        <v>971</v>
      </c>
      <c r="D306" s="3">
        <v>414.7</v>
      </c>
      <c r="E306" s="4">
        <f t="shared" si="5"/>
        <v>1385.7</v>
      </c>
      <c r="F306" s="3"/>
      <c r="G306" s="5"/>
      <c r="H306" s="4"/>
      <c r="I306" s="2"/>
      <c r="J306" s="3"/>
      <c r="K306" s="7"/>
    </row>
    <row r="307" spans="1:11">
      <c r="A307" s="4">
        <v>926</v>
      </c>
      <c r="B307" s="18" t="s">
        <v>323</v>
      </c>
      <c r="C307" s="2">
        <v>1500</v>
      </c>
      <c r="D307" s="3">
        <v>101</v>
      </c>
      <c r="E307" s="4">
        <f t="shared" si="5"/>
        <v>1601</v>
      </c>
      <c r="F307" s="3"/>
      <c r="G307" s="5"/>
      <c r="H307" s="4">
        <v>150</v>
      </c>
      <c r="I307" s="2"/>
      <c r="J307" s="3"/>
      <c r="K307" s="7"/>
    </row>
    <row r="308" spans="1:11">
      <c r="A308" s="4">
        <v>927</v>
      </c>
      <c r="B308" s="18" t="s">
        <v>324</v>
      </c>
      <c r="C308" s="2">
        <v>1500</v>
      </c>
      <c r="D308" s="3">
        <v>101</v>
      </c>
      <c r="E308" s="4">
        <f t="shared" si="5"/>
        <v>1601</v>
      </c>
      <c r="F308" s="3"/>
      <c r="G308" s="5"/>
      <c r="H308" s="4">
        <v>150</v>
      </c>
      <c r="I308" s="2"/>
      <c r="J308" s="3"/>
      <c r="K308" s="7"/>
    </row>
    <row r="309" spans="1:11">
      <c r="A309" s="4">
        <v>928</v>
      </c>
      <c r="B309" s="18" t="s">
        <v>325</v>
      </c>
      <c r="C309" s="2">
        <v>1500</v>
      </c>
      <c r="D309" s="3">
        <v>101</v>
      </c>
      <c r="E309" s="4">
        <f t="shared" si="5"/>
        <v>1601</v>
      </c>
      <c r="F309" s="3"/>
      <c r="G309" s="5"/>
      <c r="H309" s="4">
        <v>150</v>
      </c>
      <c r="I309" s="2"/>
      <c r="J309" s="3"/>
      <c r="K309" s="7"/>
    </row>
    <row r="310" spans="1:11">
      <c r="A310" s="4">
        <v>929</v>
      </c>
      <c r="B310" s="18" t="s">
        <v>326</v>
      </c>
      <c r="C310" s="2">
        <v>971</v>
      </c>
      <c r="D310" s="3">
        <v>414.7</v>
      </c>
      <c r="E310" s="4">
        <f t="shared" si="5"/>
        <v>1385.7</v>
      </c>
      <c r="F310" s="3"/>
      <c r="G310" s="5"/>
      <c r="H310" s="4">
        <v>150</v>
      </c>
      <c r="I310" s="2"/>
      <c r="J310" s="3"/>
      <c r="K310" s="7"/>
    </row>
    <row r="311" spans="1:11">
      <c r="A311" s="4">
        <v>930</v>
      </c>
      <c r="B311" s="18" t="s">
        <v>327</v>
      </c>
      <c r="C311" s="2">
        <v>1592</v>
      </c>
      <c r="D311" s="3">
        <v>89</v>
      </c>
      <c r="E311" s="4">
        <f t="shared" si="5"/>
        <v>1681</v>
      </c>
      <c r="F311" s="3">
        <v>310.7</v>
      </c>
      <c r="G311" s="5" t="s">
        <v>68</v>
      </c>
      <c r="H311" s="4"/>
      <c r="I311" s="2"/>
      <c r="J311" s="3"/>
      <c r="K311" s="7"/>
    </row>
    <row r="312" spans="1:11">
      <c r="A312" s="4">
        <v>931</v>
      </c>
      <c r="B312" s="18" t="s">
        <v>328</v>
      </c>
      <c r="C312" s="2">
        <v>971</v>
      </c>
      <c r="D312" s="3">
        <v>414.7</v>
      </c>
      <c r="E312" s="4">
        <f t="shared" si="5"/>
        <v>1385.7</v>
      </c>
      <c r="F312" s="3"/>
      <c r="G312" s="5"/>
      <c r="H312" s="4"/>
      <c r="I312" s="2"/>
      <c r="J312" s="3"/>
      <c r="K312" s="7"/>
    </row>
    <row r="313" spans="1:11">
      <c r="A313" s="4">
        <v>932</v>
      </c>
      <c r="B313" s="18" t="s">
        <v>329</v>
      </c>
      <c r="C313" s="11">
        <v>2220</v>
      </c>
      <c r="D313" s="3">
        <v>7</v>
      </c>
      <c r="E313" s="4">
        <f t="shared" si="5"/>
        <v>2227</v>
      </c>
      <c r="F313" s="3">
        <v>521.4</v>
      </c>
      <c r="G313" s="5"/>
      <c r="H313" s="4"/>
      <c r="I313" s="2"/>
      <c r="J313" s="3"/>
      <c r="K313" s="7"/>
    </row>
    <row r="314" spans="1:11">
      <c r="A314" s="4">
        <v>933</v>
      </c>
      <c r="B314" s="18" t="s">
        <v>330</v>
      </c>
      <c r="C314" s="11">
        <v>1580</v>
      </c>
      <c r="D314" s="3">
        <v>90</v>
      </c>
      <c r="E314" s="4">
        <f t="shared" si="5"/>
        <v>1670</v>
      </c>
      <c r="F314" s="3">
        <v>347.6</v>
      </c>
      <c r="G314" s="5"/>
      <c r="H314" s="4"/>
      <c r="I314" s="2"/>
      <c r="J314" s="3"/>
      <c r="K314" s="7"/>
    </row>
    <row r="315" spans="1:11">
      <c r="A315" s="4">
        <v>934</v>
      </c>
      <c r="B315" s="18" t="s">
        <v>331</v>
      </c>
      <c r="C315" s="11">
        <v>1480</v>
      </c>
      <c r="D315" s="3">
        <v>104</v>
      </c>
      <c r="E315" s="4">
        <f t="shared" si="5"/>
        <v>1584</v>
      </c>
      <c r="F315" s="3"/>
      <c r="G315" s="5"/>
      <c r="H315" s="4"/>
      <c r="I315" s="2"/>
      <c r="J315" s="3"/>
      <c r="K315" s="7"/>
    </row>
    <row r="316" spans="1:11">
      <c r="A316" s="4">
        <v>935</v>
      </c>
      <c r="B316" s="18" t="s">
        <v>332</v>
      </c>
      <c r="C316" s="2">
        <v>971</v>
      </c>
      <c r="D316" s="3">
        <v>414.7</v>
      </c>
      <c r="E316" s="4">
        <f t="shared" si="5"/>
        <v>1385.7</v>
      </c>
      <c r="F316" s="3"/>
      <c r="G316" s="5"/>
      <c r="H316" s="4"/>
      <c r="I316" s="2"/>
      <c r="J316" s="3"/>
      <c r="K316" s="7"/>
    </row>
    <row r="317" spans="1:11">
      <c r="A317" s="4">
        <v>936</v>
      </c>
      <c r="B317" s="18" t="s">
        <v>333</v>
      </c>
      <c r="C317" s="11">
        <v>1250</v>
      </c>
      <c r="D317" s="3">
        <v>134</v>
      </c>
      <c r="E317" s="4">
        <f t="shared" si="5"/>
        <v>1384</v>
      </c>
      <c r="F317" s="3"/>
      <c r="G317" s="5"/>
      <c r="H317" s="4"/>
      <c r="I317" s="2"/>
      <c r="J317" s="3"/>
      <c r="K317" s="7"/>
    </row>
    <row r="318" spans="1:11">
      <c r="A318" s="4">
        <v>937</v>
      </c>
      <c r="B318" s="18" t="s">
        <v>334</v>
      </c>
      <c r="C318" s="11">
        <v>971</v>
      </c>
      <c r="D318" s="3">
        <v>414.7</v>
      </c>
      <c r="E318" s="4">
        <f t="shared" si="5"/>
        <v>1385.7</v>
      </c>
      <c r="F318" s="3"/>
      <c r="G318" s="5"/>
      <c r="H318" s="4"/>
      <c r="I318" s="2"/>
      <c r="J318" s="3"/>
      <c r="K318" s="7"/>
    </row>
    <row r="319" spans="1:11">
      <c r="A319" s="4">
        <v>938</v>
      </c>
      <c r="B319" s="18" t="s">
        <v>335</v>
      </c>
      <c r="C319" s="2">
        <v>971</v>
      </c>
      <c r="D319" s="3">
        <v>414.7</v>
      </c>
      <c r="E319" s="4">
        <f t="shared" si="5"/>
        <v>1385.7</v>
      </c>
      <c r="F319" s="3"/>
      <c r="G319" s="5"/>
      <c r="H319" s="4">
        <v>150</v>
      </c>
      <c r="I319" s="2"/>
      <c r="J319" s="3"/>
      <c r="K319" s="7"/>
    </row>
    <row r="320" spans="1:11">
      <c r="A320" s="4">
        <v>939</v>
      </c>
      <c r="B320" s="18" t="s">
        <v>336</v>
      </c>
      <c r="C320" s="2">
        <v>971</v>
      </c>
      <c r="D320" s="3">
        <v>414.7</v>
      </c>
      <c r="E320" s="4">
        <f t="shared" si="5"/>
        <v>1385.7</v>
      </c>
      <c r="F320" s="3"/>
      <c r="G320" s="5"/>
      <c r="H320" s="4">
        <v>150</v>
      </c>
      <c r="I320" s="2"/>
      <c r="J320" s="3"/>
      <c r="K320" s="7"/>
    </row>
    <row r="321" spans="1:11">
      <c r="A321" s="4">
        <v>940</v>
      </c>
      <c r="B321" s="18" t="s">
        <v>337</v>
      </c>
      <c r="C321" s="2">
        <v>1692</v>
      </c>
      <c r="D321" s="3">
        <v>76</v>
      </c>
      <c r="E321" s="4">
        <f t="shared" si="5"/>
        <v>1768</v>
      </c>
      <c r="F321" s="3">
        <v>362.7</v>
      </c>
      <c r="G321" s="5" t="s">
        <v>79</v>
      </c>
      <c r="H321" s="4"/>
      <c r="I321" s="2"/>
      <c r="J321" s="3"/>
      <c r="K321" s="7"/>
    </row>
    <row r="322" spans="1:11">
      <c r="A322" s="4">
        <v>941</v>
      </c>
      <c r="B322" s="18" t="s">
        <v>338</v>
      </c>
      <c r="C322" s="2">
        <v>1942</v>
      </c>
      <c r="D322" s="3">
        <v>43</v>
      </c>
      <c r="E322" s="4">
        <f t="shared" si="5"/>
        <v>1985</v>
      </c>
      <c r="F322" s="3">
        <v>517.29999999999995</v>
      </c>
      <c r="G322" s="5" t="s">
        <v>74</v>
      </c>
      <c r="H322" s="4"/>
      <c r="I322" s="2"/>
      <c r="J322" s="3"/>
      <c r="K322" s="7"/>
    </row>
    <row r="323" spans="1:11">
      <c r="A323" s="4">
        <v>942</v>
      </c>
      <c r="B323" s="18" t="s">
        <v>339</v>
      </c>
      <c r="C323" s="2">
        <v>1782</v>
      </c>
      <c r="D323" s="3">
        <v>64</v>
      </c>
      <c r="E323" s="4">
        <f t="shared" si="5"/>
        <v>1846</v>
      </c>
      <c r="F323" s="3">
        <v>465.3</v>
      </c>
      <c r="G323" s="5" t="s">
        <v>77</v>
      </c>
      <c r="H323" s="4"/>
      <c r="I323" s="2"/>
      <c r="J323" s="3"/>
      <c r="K323" s="7"/>
    </row>
    <row r="324" spans="1:11">
      <c r="A324" s="4">
        <v>943</v>
      </c>
      <c r="B324" s="18" t="s">
        <v>340</v>
      </c>
      <c r="C324" s="2">
        <v>1500</v>
      </c>
      <c r="D324" s="3">
        <v>101</v>
      </c>
      <c r="E324" s="4">
        <f t="shared" si="5"/>
        <v>1601</v>
      </c>
      <c r="F324" s="3"/>
      <c r="G324" s="5"/>
      <c r="H324" s="4">
        <v>150</v>
      </c>
      <c r="I324" s="2"/>
      <c r="J324" s="3"/>
      <c r="K324" s="7"/>
    </row>
    <row r="325" spans="1:11">
      <c r="A325" s="4">
        <v>944</v>
      </c>
      <c r="B325" s="18" t="s">
        <v>341</v>
      </c>
      <c r="C325" s="2">
        <v>1400</v>
      </c>
      <c r="D325" s="3">
        <v>114</v>
      </c>
      <c r="E325" s="4">
        <f t="shared" si="5"/>
        <v>1514</v>
      </c>
      <c r="F325" s="3">
        <v>310.7</v>
      </c>
      <c r="G325" s="5" t="s">
        <v>68</v>
      </c>
      <c r="H325" s="4"/>
      <c r="I325" s="2"/>
      <c r="J325" s="3"/>
      <c r="K325" s="7"/>
    </row>
    <row r="326" spans="1:11">
      <c r="A326" s="4">
        <v>945</v>
      </c>
      <c r="B326" s="18" t="s">
        <v>342</v>
      </c>
      <c r="C326" s="2">
        <v>1782</v>
      </c>
      <c r="D326" s="3">
        <v>64</v>
      </c>
      <c r="E326" s="4">
        <f t="shared" si="5"/>
        <v>1846</v>
      </c>
      <c r="F326" s="3">
        <v>310.7</v>
      </c>
      <c r="G326" s="5" t="s">
        <v>68</v>
      </c>
      <c r="H326" s="4"/>
      <c r="I326" s="2">
        <v>669</v>
      </c>
      <c r="J326" s="3"/>
      <c r="K326" s="7"/>
    </row>
    <row r="327" spans="1:11">
      <c r="A327" s="4">
        <v>946</v>
      </c>
      <c r="B327" s="18" t="s">
        <v>343</v>
      </c>
      <c r="C327" s="2">
        <v>971</v>
      </c>
      <c r="D327" s="3">
        <v>214</v>
      </c>
      <c r="E327" s="4">
        <f t="shared" si="5"/>
        <v>1185</v>
      </c>
      <c r="F327" s="3"/>
      <c r="G327" s="5"/>
      <c r="H327" s="4"/>
      <c r="I327" s="2">
        <v>620</v>
      </c>
      <c r="J327" s="3"/>
      <c r="K327" s="7"/>
    </row>
    <row r="328" spans="1:11">
      <c r="A328" s="4">
        <v>947</v>
      </c>
      <c r="B328" s="18" t="s">
        <v>344</v>
      </c>
      <c r="C328" s="2">
        <v>971</v>
      </c>
      <c r="D328" s="3">
        <v>214</v>
      </c>
      <c r="E328" s="4">
        <f t="shared" si="5"/>
        <v>1185</v>
      </c>
      <c r="F328" s="3"/>
      <c r="G328" s="5"/>
      <c r="H328" s="4"/>
      <c r="I328" s="2">
        <v>155</v>
      </c>
      <c r="J328" s="3"/>
      <c r="K328" s="7"/>
    </row>
    <row r="329" spans="1:11">
      <c r="A329" s="4">
        <v>948</v>
      </c>
      <c r="B329" s="18" t="s">
        <v>345</v>
      </c>
      <c r="C329" s="2">
        <v>1300</v>
      </c>
      <c r="D329" s="3">
        <v>127</v>
      </c>
      <c r="E329" s="4">
        <f t="shared" si="5"/>
        <v>1427</v>
      </c>
      <c r="F329" s="3">
        <v>310.7</v>
      </c>
      <c r="G329" s="5" t="s">
        <v>68</v>
      </c>
      <c r="H329" s="4"/>
      <c r="I329" s="2">
        <v>620</v>
      </c>
      <c r="J329" s="3"/>
      <c r="K329" s="7"/>
    </row>
    <row r="330" spans="1:11">
      <c r="A330" s="4">
        <v>949</v>
      </c>
      <c r="B330" s="18" t="s">
        <v>346</v>
      </c>
      <c r="C330" s="2">
        <v>1500</v>
      </c>
      <c r="D330" s="3">
        <v>101</v>
      </c>
      <c r="E330" s="4">
        <f t="shared" si="5"/>
        <v>1601</v>
      </c>
      <c r="F330" s="3"/>
      <c r="G330" s="5"/>
      <c r="H330" s="4">
        <v>150</v>
      </c>
      <c r="I330" s="2"/>
      <c r="J330" s="3"/>
      <c r="K330" s="7"/>
    </row>
    <row r="331" spans="1:11">
      <c r="A331" s="4">
        <v>950</v>
      </c>
      <c r="B331" s="18" t="s">
        <v>347</v>
      </c>
      <c r="C331" s="2">
        <v>1500</v>
      </c>
      <c r="D331" s="3">
        <v>101</v>
      </c>
      <c r="E331" s="4">
        <f t="shared" si="5"/>
        <v>1601</v>
      </c>
      <c r="F331" s="3"/>
      <c r="G331" s="5"/>
      <c r="H331" s="4">
        <v>150</v>
      </c>
      <c r="I331" s="2"/>
      <c r="J331" s="3"/>
      <c r="K331" s="7"/>
    </row>
    <row r="332" spans="1:11">
      <c r="A332" s="4">
        <v>951</v>
      </c>
      <c r="B332" s="18" t="s">
        <v>348</v>
      </c>
      <c r="C332" s="2">
        <v>1500</v>
      </c>
      <c r="D332" s="3">
        <v>101</v>
      </c>
      <c r="E332" s="4">
        <f t="shared" si="5"/>
        <v>1601</v>
      </c>
      <c r="F332" s="3"/>
      <c r="G332" s="5"/>
      <c r="H332" s="4">
        <v>150</v>
      </c>
      <c r="I332" s="2"/>
      <c r="J332" s="3"/>
      <c r="K332" s="7"/>
    </row>
    <row r="333" spans="1:11">
      <c r="A333" s="4">
        <v>952</v>
      </c>
      <c r="B333" s="18" t="s">
        <v>349</v>
      </c>
      <c r="C333" s="2">
        <v>971</v>
      </c>
      <c r="D333" s="3">
        <v>214</v>
      </c>
      <c r="E333" s="4">
        <f t="shared" si="5"/>
        <v>1185</v>
      </c>
      <c r="F333" s="3"/>
      <c r="G333" s="5"/>
      <c r="H333" s="4"/>
      <c r="I333" s="2">
        <v>155</v>
      </c>
      <c r="J333" s="3"/>
      <c r="K333" s="7"/>
    </row>
    <row r="334" spans="1:11">
      <c r="A334" s="4">
        <v>953</v>
      </c>
      <c r="B334" s="18" t="s">
        <v>350</v>
      </c>
      <c r="C334" s="2">
        <v>971</v>
      </c>
      <c r="D334" s="3">
        <v>214</v>
      </c>
      <c r="E334" s="4">
        <f t="shared" si="5"/>
        <v>1185</v>
      </c>
      <c r="F334" s="3"/>
      <c r="G334" s="5"/>
      <c r="H334" s="4"/>
      <c r="I334" s="2">
        <v>155</v>
      </c>
      <c r="J334" s="3"/>
      <c r="K334" s="7"/>
    </row>
    <row r="335" spans="1:11">
      <c r="A335" s="4">
        <v>954</v>
      </c>
      <c r="B335" s="18" t="s">
        <v>351</v>
      </c>
      <c r="C335" s="2">
        <v>1600</v>
      </c>
      <c r="D335" s="3">
        <v>88</v>
      </c>
      <c r="E335" s="4">
        <f t="shared" si="5"/>
        <v>1688</v>
      </c>
      <c r="F335" s="3">
        <v>310.7</v>
      </c>
      <c r="G335" s="12">
        <v>388</v>
      </c>
      <c r="H335" s="4"/>
      <c r="I335" s="2">
        <v>657</v>
      </c>
      <c r="J335" s="3"/>
      <c r="K335" s="7"/>
    </row>
    <row r="336" spans="1:11">
      <c r="A336" s="4">
        <v>955</v>
      </c>
      <c r="B336" s="18" t="s">
        <v>352</v>
      </c>
      <c r="C336" s="2">
        <v>971</v>
      </c>
      <c r="D336" s="3">
        <v>414.7</v>
      </c>
      <c r="E336" s="4">
        <f t="shared" si="5"/>
        <v>1385.7</v>
      </c>
      <c r="F336" s="3"/>
      <c r="G336" s="5"/>
      <c r="H336" s="4">
        <v>150</v>
      </c>
      <c r="I336" s="2"/>
      <c r="J336" s="3"/>
      <c r="K336" s="7"/>
    </row>
    <row r="337" spans="1:11">
      <c r="A337" s="4">
        <v>956</v>
      </c>
      <c r="B337" s="18" t="s">
        <v>353</v>
      </c>
      <c r="C337" s="2">
        <v>1692</v>
      </c>
      <c r="D337" s="3">
        <v>76</v>
      </c>
      <c r="E337" s="4">
        <f t="shared" si="5"/>
        <v>1768</v>
      </c>
      <c r="F337" s="3">
        <v>362.7</v>
      </c>
      <c r="G337" s="12">
        <v>388</v>
      </c>
      <c r="H337" s="4"/>
      <c r="I337" s="2">
        <v>663</v>
      </c>
      <c r="J337" s="3"/>
      <c r="K337" s="7"/>
    </row>
    <row r="338" spans="1:11">
      <c r="A338" s="4">
        <v>957</v>
      </c>
      <c r="B338" s="18" t="s">
        <v>354</v>
      </c>
      <c r="C338" s="2">
        <v>1700</v>
      </c>
      <c r="D338" s="3">
        <v>75</v>
      </c>
      <c r="E338" s="4">
        <f t="shared" si="5"/>
        <v>1775</v>
      </c>
      <c r="F338" s="3">
        <v>413.3</v>
      </c>
      <c r="G338" s="12">
        <v>516</v>
      </c>
      <c r="H338" s="4"/>
      <c r="I338" s="2"/>
      <c r="J338" s="3"/>
      <c r="K338" s="7"/>
    </row>
    <row r="339" spans="1:11">
      <c r="A339" s="4">
        <v>959</v>
      </c>
      <c r="B339" s="18" t="s">
        <v>355</v>
      </c>
      <c r="C339" s="2">
        <v>1942</v>
      </c>
      <c r="D339" s="3">
        <v>43</v>
      </c>
      <c r="E339" s="4">
        <f t="shared" si="5"/>
        <v>1985</v>
      </c>
      <c r="F339" s="3">
        <v>388</v>
      </c>
      <c r="G339" s="12">
        <v>647</v>
      </c>
      <c r="H339" s="4">
        <v>17</v>
      </c>
      <c r="I339" s="2"/>
      <c r="J339" s="3"/>
      <c r="K339" s="7"/>
    </row>
    <row r="340" spans="1:11">
      <c r="A340" s="4">
        <v>960</v>
      </c>
      <c r="B340" s="18" t="s">
        <v>356</v>
      </c>
      <c r="C340" s="2">
        <v>1600</v>
      </c>
      <c r="D340" s="3">
        <v>88</v>
      </c>
      <c r="E340" s="4">
        <f t="shared" si="5"/>
        <v>1688</v>
      </c>
      <c r="F340" s="3">
        <v>233</v>
      </c>
      <c r="G340" s="12">
        <v>388</v>
      </c>
      <c r="H340" s="4">
        <v>17</v>
      </c>
      <c r="I340" s="2"/>
      <c r="J340" s="3"/>
      <c r="K340" s="7"/>
    </row>
    <row r="341" spans="1:11">
      <c r="A341" s="4">
        <v>961</v>
      </c>
      <c r="B341" s="18" t="s">
        <v>357</v>
      </c>
      <c r="C341" s="2"/>
      <c r="D341" s="3"/>
      <c r="E341" s="4"/>
      <c r="F341" s="3">
        <v>347.6</v>
      </c>
      <c r="G341" s="5"/>
      <c r="H341" s="4"/>
      <c r="I341" s="2"/>
      <c r="J341" s="3"/>
      <c r="K341" s="7"/>
    </row>
    <row r="342" spans="1:11">
      <c r="A342" s="4">
        <v>962</v>
      </c>
      <c r="B342" s="18" t="s">
        <v>358</v>
      </c>
      <c r="C342" s="2"/>
      <c r="D342" s="3"/>
      <c r="E342" s="4"/>
      <c r="F342" s="3"/>
      <c r="G342" s="5"/>
      <c r="H342" s="4"/>
      <c r="I342" s="2"/>
      <c r="J342" s="3"/>
      <c r="K342" s="7"/>
    </row>
    <row r="343" spans="1:11">
      <c r="A343" s="4">
        <v>963</v>
      </c>
      <c r="B343" s="18" t="s">
        <v>359</v>
      </c>
      <c r="C343" s="11">
        <v>951</v>
      </c>
      <c r="D343" s="3">
        <v>414.7</v>
      </c>
      <c r="E343" s="4">
        <f>C343+D343</f>
        <v>1365.7</v>
      </c>
      <c r="F343" s="3"/>
      <c r="G343" s="5"/>
      <c r="H343" s="4"/>
      <c r="I343" s="2"/>
      <c r="J343" s="3"/>
      <c r="K343" s="7"/>
    </row>
    <row r="344" spans="1:11">
      <c r="A344" s="4">
        <v>964</v>
      </c>
      <c r="B344" s="18" t="s">
        <v>360</v>
      </c>
      <c r="C344" s="2">
        <v>1500</v>
      </c>
      <c r="D344" s="3">
        <v>101</v>
      </c>
      <c r="E344" s="4">
        <f>C344+D344</f>
        <v>1601</v>
      </c>
      <c r="F344" s="3">
        <v>310</v>
      </c>
      <c r="G344" s="5">
        <v>388</v>
      </c>
      <c r="H344" s="4">
        <v>17</v>
      </c>
      <c r="I344" s="2"/>
      <c r="J344" s="3"/>
      <c r="K344" s="7"/>
    </row>
    <row r="345" spans="1:11">
      <c r="A345" s="4">
        <v>965</v>
      </c>
      <c r="B345" s="18" t="s">
        <v>361</v>
      </c>
      <c r="C345" s="2">
        <v>1700</v>
      </c>
      <c r="D345" s="3">
        <v>75</v>
      </c>
      <c r="E345" s="4">
        <f>C345+D345</f>
        <v>1775</v>
      </c>
      <c r="F345" s="3">
        <v>310</v>
      </c>
      <c r="G345" s="5">
        <v>388</v>
      </c>
      <c r="H345" s="4">
        <v>17</v>
      </c>
      <c r="I345" s="2"/>
      <c r="J345" s="3"/>
      <c r="K345" s="7"/>
    </row>
    <row r="346" spans="1:11">
      <c r="A346" s="4">
        <v>966</v>
      </c>
      <c r="B346" s="18" t="s">
        <v>362</v>
      </c>
      <c r="C346" s="2"/>
      <c r="D346" s="3"/>
      <c r="E346" s="4"/>
      <c r="F346" s="3">
        <v>434.5</v>
      </c>
      <c r="G346" s="5"/>
      <c r="H346" s="4"/>
      <c r="I346" s="2"/>
      <c r="J346" s="3"/>
      <c r="K346" s="7"/>
    </row>
    <row r="347" spans="1:11">
      <c r="A347" s="4">
        <v>967</v>
      </c>
      <c r="B347" s="18" t="s">
        <v>363</v>
      </c>
      <c r="C347" s="2"/>
      <c r="D347" s="3"/>
      <c r="E347" s="4"/>
      <c r="F347" s="3"/>
      <c r="G347" s="5"/>
      <c r="H347" s="4"/>
      <c r="I347" s="2"/>
      <c r="J347" s="3"/>
      <c r="K347" s="7"/>
    </row>
    <row r="348" spans="1:11">
      <c r="A348" s="4">
        <v>969</v>
      </c>
      <c r="B348" s="18" t="s">
        <v>364</v>
      </c>
      <c r="C348" s="2">
        <v>1942</v>
      </c>
      <c r="D348" s="3">
        <v>43</v>
      </c>
      <c r="E348" s="4">
        <f t="shared" ref="E348:E361" si="6">C348+D348</f>
        <v>1985</v>
      </c>
      <c r="F348" s="3"/>
      <c r="G348" s="5">
        <v>647</v>
      </c>
      <c r="H348" s="4">
        <v>150</v>
      </c>
      <c r="I348" s="2"/>
      <c r="J348" s="3"/>
      <c r="K348" s="7"/>
    </row>
    <row r="349" spans="1:11">
      <c r="A349" s="4">
        <v>970</v>
      </c>
      <c r="B349" s="18" t="s">
        <v>365</v>
      </c>
      <c r="C349" s="11">
        <v>1480</v>
      </c>
      <c r="D349" s="3">
        <v>104</v>
      </c>
      <c r="E349" s="4">
        <f t="shared" si="6"/>
        <v>1584</v>
      </c>
      <c r="F349" s="3"/>
      <c r="G349" s="5"/>
      <c r="H349" s="4"/>
      <c r="I349" s="2"/>
      <c r="J349" s="3"/>
      <c r="K349" s="7"/>
    </row>
    <row r="350" spans="1:11">
      <c r="A350" s="4">
        <v>971</v>
      </c>
      <c r="B350" s="18" t="s">
        <v>366</v>
      </c>
      <c r="C350" s="2">
        <v>1400</v>
      </c>
      <c r="D350" s="3">
        <v>114</v>
      </c>
      <c r="E350" s="4">
        <f t="shared" si="6"/>
        <v>1514</v>
      </c>
      <c r="F350" s="3">
        <v>310.7</v>
      </c>
      <c r="G350" s="5">
        <v>388</v>
      </c>
      <c r="H350" s="4">
        <v>150</v>
      </c>
      <c r="I350" s="2"/>
      <c r="J350" s="3"/>
      <c r="K350" s="7"/>
    </row>
    <row r="351" spans="1:11">
      <c r="A351" s="4">
        <v>972</v>
      </c>
      <c r="B351" s="18" t="s">
        <v>367</v>
      </c>
      <c r="C351" s="2">
        <v>1692</v>
      </c>
      <c r="D351" s="3">
        <v>76</v>
      </c>
      <c r="E351" s="4">
        <f t="shared" si="6"/>
        <v>1768</v>
      </c>
      <c r="F351" s="3">
        <v>362.7</v>
      </c>
      <c r="G351" s="5">
        <v>453</v>
      </c>
      <c r="H351" s="4">
        <v>17</v>
      </c>
      <c r="I351" s="2"/>
      <c r="J351" s="3"/>
      <c r="K351" s="7"/>
    </row>
    <row r="352" spans="1:11">
      <c r="A352" s="4">
        <v>973</v>
      </c>
      <c r="B352" s="18" t="s">
        <v>368</v>
      </c>
      <c r="C352" s="2">
        <v>1592</v>
      </c>
      <c r="D352" s="3">
        <v>89</v>
      </c>
      <c r="E352" s="4">
        <f t="shared" si="6"/>
        <v>1681</v>
      </c>
      <c r="F352" s="3">
        <v>310.7</v>
      </c>
      <c r="G352" s="5">
        <v>388</v>
      </c>
      <c r="H352" s="4">
        <v>17</v>
      </c>
      <c r="I352" s="2"/>
      <c r="J352" s="3"/>
      <c r="K352" s="7"/>
    </row>
    <row r="353" spans="1:11">
      <c r="A353" s="4">
        <v>974</v>
      </c>
      <c r="B353" s="18" t="s">
        <v>369</v>
      </c>
      <c r="C353" s="2">
        <v>1500</v>
      </c>
      <c r="D353" s="3">
        <v>101</v>
      </c>
      <c r="E353" s="4">
        <f t="shared" si="6"/>
        <v>1601</v>
      </c>
      <c r="F353" s="3"/>
      <c r="G353" s="5"/>
      <c r="H353" s="4">
        <v>150</v>
      </c>
      <c r="I353" s="2"/>
      <c r="J353" s="3"/>
      <c r="K353" s="7"/>
    </row>
    <row r="354" spans="1:11">
      <c r="A354" s="4">
        <v>976</v>
      </c>
      <c r="B354" s="18" t="s">
        <v>193</v>
      </c>
      <c r="C354" s="2">
        <v>971</v>
      </c>
      <c r="D354" s="3">
        <v>414.7</v>
      </c>
      <c r="E354" s="4">
        <f t="shared" si="6"/>
        <v>1385.7</v>
      </c>
      <c r="F354" s="3"/>
      <c r="G354" s="5"/>
      <c r="H354" s="4"/>
      <c r="I354" s="2"/>
      <c r="J354" s="3"/>
      <c r="K354" s="7"/>
    </row>
    <row r="355" spans="1:11">
      <c r="A355" s="4">
        <v>977</v>
      </c>
      <c r="B355" s="18" t="s">
        <v>370</v>
      </c>
      <c r="C355" s="2">
        <v>971</v>
      </c>
      <c r="D355" s="3">
        <v>414.7</v>
      </c>
      <c r="E355" s="4">
        <f t="shared" si="6"/>
        <v>1385.7</v>
      </c>
      <c r="F355" s="3"/>
      <c r="G355" s="5"/>
      <c r="H355" s="4"/>
      <c r="I355" s="2"/>
      <c r="J355" s="3"/>
      <c r="K355" s="7"/>
    </row>
    <row r="356" spans="1:11">
      <c r="A356" s="4">
        <v>978</v>
      </c>
      <c r="B356" s="18" t="s">
        <v>194</v>
      </c>
      <c r="C356" s="2">
        <v>971</v>
      </c>
      <c r="D356" s="3">
        <v>414.7</v>
      </c>
      <c r="E356" s="4">
        <f t="shared" si="6"/>
        <v>1385.7</v>
      </c>
      <c r="F356" s="3"/>
      <c r="G356" s="5"/>
      <c r="H356" s="4"/>
      <c r="I356" s="2"/>
      <c r="J356" s="3"/>
      <c r="K356" s="7"/>
    </row>
    <row r="357" spans="1:11">
      <c r="A357" s="4">
        <v>979</v>
      </c>
      <c r="B357" s="18" t="s">
        <v>371</v>
      </c>
      <c r="C357" s="2">
        <v>1400</v>
      </c>
      <c r="D357" s="3">
        <v>114</v>
      </c>
      <c r="E357" s="4">
        <f t="shared" si="6"/>
        <v>1514</v>
      </c>
      <c r="F357" s="3">
        <v>310.7</v>
      </c>
      <c r="G357" s="2">
        <v>388</v>
      </c>
      <c r="H357" s="4">
        <v>17</v>
      </c>
      <c r="I357" s="2"/>
      <c r="J357" s="3"/>
      <c r="K357" s="7"/>
    </row>
    <row r="358" spans="1:11">
      <c r="A358" s="4">
        <v>980</v>
      </c>
      <c r="B358" s="18" t="s">
        <v>372</v>
      </c>
      <c r="C358" s="2">
        <v>1300</v>
      </c>
      <c r="D358" s="3">
        <v>127</v>
      </c>
      <c r="E358" s="4">
        <f t="shared" si="6"/>
        <v>1427</v>
      </c>
      <c r="F358" s="3">
        <v>310.7</v>
      </c>
      <c r="G358" s="2">
        <v>388</v>
      </c>
      <c r="H358" s="4">
        <v>17</v>
      </c>
      <c r="I358" s="2"/>
      <c r="J358" s="3"/>
      <c r="K358" s="7"/>
    </row>
    <row r="359" spans="1:11">
      <c r="A359" s="4">
        <v>981</v>
      </c>
      <c r="B359" s="18" t="s">
        <v>373</v>
      </c>
      <c r="C359" s="2">
        <v>1250</v>
      </c>
      <c r="D359" s="3">
        <v>134</v>
      </c>
      <c r="E359" s="4">
        <f t="shared" si="6"/>
        <v>1384</v>
      </c>
      <c r="F359" s="3">
        <v>310.7</v>
      </c>
      <c r="G359" s="5">
        <v>388</v>
      </c>
      <c r="H359" s="4">
        <v>17</v>
      </c>
      <c r="I359" s="2"/>
      <c r="J359" s="3"/>
      <c r="K359" s="7"/>
    </row>
    <row r="360" spans="1:11">
      <c r="A360" s="4">
        <v>982</v>
      </c>
      <c r="B360" s="18" t="s">
        <v>374</v>
      </c>
      <c r="C360" s="2">
        <v>971</v>
      </c>
      <c r="D360" s="3">
        <v>414.7</v>
      </c>
      <c r="E360" s="4">
        <f t="shared" si="6"/>
        <v>1385.7</v>
      </c>
      <c r="F360" s="3"/>
      <c r="G360" s="5"/>
      <c r="H360" s="4">
        <v>17</v>
      </c>
      <c r="I360" s="2"/>
      <c r="J360" s="3"/>
      <c r="K360" s="7"/>
    </row>
    <row r="361" spans="1:11">
      <c r="A361" s="4">
        <v>983</v>
      </c>
      <c r="B361" s="18" t="s">
        <v>375</v>
      </c>
      <c r="C361" s="2">
        <v>690</v>
      </c>
      <c r="D361" s="3">
        <v>414.7</v>
      </c>
      <c r="E361" s="4">
        <f t="shared" si="6"/>
        <v>1104.7</v>
      </c>
      <c r="F361" s="3"/>
      <c r="G361" s="5"/>
      <c r="H361" s="4"/>
      <c r="I361" s="2"/>
      <c r="J361" s="3"/>
      <c r="K361" s="7"/>
    </row>
    <row r="362" spans="1:11">
      <c r="A362" s="4">
        <v>984</v>
      </c>
      <c r="B362" s="18" t="s">
        <v>376</v>
      </c>
      <c r="C362" s="2"/>
      <c r="D362" s="3"/>
      <c r="E362" s="4"/>
      <c r="F362" s="3"/>
      <c r="G362" s="5"/>
      <c r="H362" s="4"/>
      <c r="I362" s="2"/>
      <c r="J362" s="3"/>
      <c r="K362" s="7"/>
    </row>
    <row r="363" spans="1:11">
      <c r="A363" s="4">
        <v>985</v>
      </c>
      <c r="B363" s="18" t="s">
        <v>377</v>
      </c>
      <c r="C363" s="2">
        <v>2913</v>
      </c>
      <c r="D363" s="3">
        <v>0</v>
      </c>
      <c r="E363" s="4">
        <f>C363+D363</f>
        <v>2913</v>
      </c>
      <c r="F363" s="3"/>
      <c r="G363" s="5"/>
      <c r="H363" s="4"/>
      <c r="I363" s="2"/>
      <c r="J363" s="3"/>
      <c r="K363" s="7"/>
    </row>
    <row r="364" spans="1:11">
      <c r="A364" s="4">
        <v>986</v>
      </c>
      <c r="B364" s="18" t="s">
        <v>378</v>
      </c>
      <c r="C364" s="2">
        <v>644</v>
      </c>
      <c r="D364" s="3">
        <v>414.7</v>
      </c>
      <c r="E364" s="4">
        <f>C364+D364</f>
        <v>1058.7</v>
      </c>
      <c r="F364" s="3"/>
      <c r="G364" s="5"/>
      <c r="H364" s="4"/>
      <c r="I364" s="2"/>
      <c r="J364" s="3"/>
      <c r="K364" s="7"/>
    </row>
    <row r="365" spans="1:11">
      <c r="A365" s="4">
        <v>987</v>
      </c>
      <c r="B365" s="18" t="s">
        <v>379</v>
      </c>
      <c r="C365" s="11">
        <v>1170</v>
      </c>
      <c r="D365" s="3">
        <v>144</v>
      </c>
      <c r="E365" s="4">
        <f>C365+D365</f>
        <v>1314</v>
      </c>
      <c r="F365" s="3"/>
      <c r="G365" s="5"/>
      <c r="H365" s="4"/>
      <c r="I365" s="2"/>
      <c r="J365" s="3"/>
      <c r="K365" s="7"/>
    </row>
    <row r="366" spans="1:11">
      <c r="A366" s="4">
        <v>990</v>
      </c>
      <c r="B366" s="18" t="s">
        <v>380</v>
      </c>
      <c r="C366" s="2"/>
      <c r="D366" s="3"/>
      <c r="E366" s="4"/>
      <c r="F366" s="3"/>
      <c r="G366" s="5"/>
      <c r="H366" s="4"/>
      <c r="I366" s="2"/>
      <c r="J366" s="3"/>
      <c r="K366" s="7"/>
    </row>
    <row r="367" spans="1:11">
      <c r="A367" s="4">
        <v>991</v>
      </c>
      <c r="B367" s="18" t="s">
        <v>381</v>
      </c>
      <c r="C367" s="2"/>
      <c r="D367" s="3"/>
      <c r="E367" s="4"/>
      <c r="F367" s="3"/>
      <c r="G367" s="5"/>
      <c r="H367" s="4"/>
      <c r="I367" s="2"/>
      <c r="J367" s="3"/>
      <c r="K367" s="7"/>
    </row>
    <row r="368" spans="1:11">
      <c r="A368" s="4">
        <v>992</v>
      </c>
      <c r="B368" s="18" t="s">
        <v>382</v>
      </c>
      <c r="C368" s="2">
        <v>1500</v>
      </c>
      <c r="D368" s="3">
        <v>101</v>
      </c>
      <c r="E368" s="4">
        <f>C368+D368</f>
        <v>1601</v>
      </c>
      <c r="F368" s="3">
        <v>310.7</v>
      </c>
      <c r="G368" s="2">
        <v>388</v>
      </c>
      <c r="H368" s="4"/>
      <c r="I368" s="2"/>
      <c r="J368" s="3"/>
      <c r="K368" s="7"/>
    </row>
    <row r="369" spans="1:11">
      <c r="A369" s="4">
        <v>993</v>
      </c>
      <c r="B369" s="18" t="s">
        <v>383</v>
      </c>
      <c r="C369" s="2">
        <v>1400</v>
      </c>
      <c r="D369" s="3">
        <v>114</v>
      </c>
      <c r="E369" s="4">
        <f>C369+D369</f>
        <v>1514</v>
      </c>
      <c r="F369" s="3"/>
      <c r="G369" s="2">
        <v>388</v>
      </c>
      <c r="H369" s="4"/>
      <c r="I369" s="2">
        <v>657</v>
      </c>
      <c r="J369" s="3"/>
      <c r="K369" s="7"/>
    </row>
    <row r="370" spans="1:11">
      <c r="A370" s="4">
        <v>994</v>
      </c>
      <c r="B370" s="18" t="s">
        <v>384</v>
      </c>
      <c r="C370" s="2">
        <v>1250</v>
      </c>
      <c r="D370" s="3">
        <v>134</v>
      </c>
      <c r="E370" s="4">
        <f>C370+D370</f>
        <v>1384</v>
      </c>
      <c r="F370" s="3">
        <v>347.6</v>
      </c>
      <c r="G370" s="2">
        <v>388</v>
      </c>
      <c r="H370" s="4"/>
      <c r="I370" s="2">
        <v>657</v>
      </c>
      <c r="J370" s="3"/>
      <c r="K370" s="7"/>
    </row>
    <row r="371" spans="1:11">
      <c r="A371" s="4">
        <v>995</v>
      </c>
      <c r="B371" s="18" t="s">
        <v>385</v>
      </c>
      <c r="C371" s="11">
        <v>1564</v>
      </c>
      <c r="D371" s="3">
        <v>93</v>
      </c>
      <c r="E371" s="4">
        <f>C371+D371</f>
        <v>1657</v>
      </c>
      <c r="F371" s="3"/>
      <c r="G371" s="5"/>
      <c r="H371" s="4"/>
      <c r="I371" s="2"/>
      <c r="J371" s="3"/>
      <c r="K371" s="7"/>
    </row>
    <row r="372" spans="1:11">
      <c r="A372" s="4">
        <v>999</v>
      </c>
      <c r="B372" s="18" t="s">
        <v>386</v>
      </c>
      <c r="C372" s="2">
        <v>1250</v>
      </c>
      <c r="D372" s="3">
        <v>134</v>
      </c>
      <c r="E372" s="4">
        <f>C372+D372</f>
        <v>1384</v>
      </c>
      <c r="F372" s="3">
        <v>310.7</v>
      </c>
      <c r="G372" s="2">
        <v>388</v>
      </c>
      <c r="H372" s="4"/>
      <c r="I372" s="2"/>
      <c r="J372" s="3"/>
      <c r="K372" s="7"/>
    </row>
  </sheetData>
  <sheetProtection algorithmName="SHA-512" hashValue="tSpOZZ9pv9qpQdnMgy0hQmpfmLIoT2knglt8EgNpU0xM0ptLDyUVv/sKPqBeh4nh0WrLgWn8Qj4NqkHX9MGAbA==" saltValue="yNwsEJiEfRDy6TgY94Rwsw==" spinCount="100000" sheet="1" objects="1" scenarios="1"/>
  <conditionalFormatting sqref="K146 K144 K140:K141 K137:K138 K5:K135 K1:K2 K148:K372">
    <cfRule type="cellIs" dxfId="6" priority="7" operator="greaterThan">
      <formula>0</formula>
    </cfRule>
  </conditionalFormatting>
  <conditionalFormatting sqref="K136">
    <cfRule type="cellIs" dxfId="5" priority="6" operator="greaterThan">
      <formula>0</formula>
    </cfRule>
  </conditionalFormatting>
  <conditionalFormatting sqref="K139">
    <cfRule type="cellIs" dxfId="4" priority="5" operator="greaterThan">
      <formula>0</formula>
    </cfRule>
  </conditionalFormatting>
  <conditionalFormatting sqref="K142">
    <cfRule type="cellIs" dxfId="3" priority="4" operator="greaterThan">
      <formula>0</formula>
    </cfRule>
  </conditionalFormatting>
  <conditionalFormatting sqref="K143">
    <cfRule type="cellIs" dxfId="2" priority="3" operator="greaterThan">
      <formula>0</formula>
    </cfRule>
  </conditionalFormatting>
  <conditionalFormatting sqref="K145">
    <cfRule type="cellIs" dxfId="1" priority="2" operator="greaterThan">
      <formula>0</formula>
    </cfRule>
  </conditionalFormatting>
  <conditionalFormatting sqref="K147">
    <cfRule type="cellIs" dxfId="0" priority="1" operator="greaterThan">
      <formula>0</formula>
    </cfRule>
  </conditionalFormatting>
  <hyperlinks>
    <hyperlink ref="B2" r:id="rId1" location="'recibo de sueldo'!A1" xr:uid="{48A3F6C9-3E4D-4CDC-A15B-643649176B2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61</vt:i4>
      </vt:variant>
    </vt:vector>
  </HeadingPairs>
  <TitlesOfParts>
    <vt:vector size="63" baseType="lpstr">
      <vt:lpstr>Recibo</vt:lpstr>
      <vt:lpstr>Cargos</vt:lpstr>
      <vt:lpstr>adicdir2016</vt:lpstr>
      <vt:lpstr>adicdir2022</vt:lpstr>
      <vt:lpstr>adichsmedia</vt:lpstr>
      <vt:lpstr>adicnina</vt:lpstr>
      <vt:lpstr>Aumentojulio26</vt:lpstr>
      <vt:lpstr>Aumentomayo26</vt:lpstr>
      <vt:lpstr>Aumentoseptiembre26</vt:lpstr>
      <vt:lpstr>canthor06med</vt:lpstr>
      <vt:lpstr>canthor06sup</vt:lpstr>
      <vt:lpstr>canthorincmed</vt:lpstr>
      <vt:lpstr>canthorincsup</vt:lpstr>
      <vt:lpstr>canthormed</vt:lpstr>
      <vt:lpstr>canthorsup</vt:lpstr>
      <vt:lpstr>cantkm</vt:lpstr>
      <vt:lpstr>cantkmhm</vt:lpstr>
      <vt:lpstr>cantkmhs</vt:lpstr>
      <vt:lpstr>codigo06cargosdic25</vt:lpstr>
      <vt:lpstr>compbas16</vt:lpstr>
      <vt:lpstr>compbas2016</vt:lpstr>
      <vt:lpstr>compdir16</vt:lpstr>
      <vt:lpstr>compdir22</vt:lpstr>
      <vt:lpstr>escalaañosantig</vt:lpstr>
      <vt:lpstr>escalaporcantig</vt:lpstr>
      <vt:lpstr>exten</vt:lpstr>
      <vt:lpstr>indicedic25</vt:lpstr>
      <vt:lpstr>indicejul26</vt:lpstr>
      <vt:lpstr>indicemay26</vt:lpstr>
      <vt:lpstr>Indiceproljordic25</vt:lpstr>
      <vt:lpstr>Indiceproljorjul26</vt:lpstr>
      <vt:lpstr>Indiceproljormay26</vt:lpstr>
      <vt:lpstr>Indiceproljorsep26</vt:lpstr>
      <vt:lpstr>indicesep26</vt:lpstr>
      <vt:lpstr>kmsem</vt:lpstr>
      <vt:lpstr>kmsemhsmed</vt:lpstr>
      <vt:lpstr>kmsemhssup</vt:lpstr>
      <vt:lpstr>nina</vt:lpstr>
      <vt:lpstr>nombrecargo</vt:lpstr>
      <vt:lpstr>numcargo</vt:lpstr>
      <vt:lpstr>poragmer</vt:lpstr>
      <vt:lpstr>porant</vt:lpstr>
      <vt:lpstr>porantigcargo</vt:lpstr>
      <vt:lpstr>porantighormed</vt:lpstr>
      <vt:lpstr>porantighorsup</vt:lpstr>
      <vt:lpstr>poros</vt:lpstr>
      <vt:lpstr>porzonacargo</vt:lpstr>
      <vt:lpstr>porzonahsmed</vt:lpstr>
      <vt:lpstr>punbascar</vt:lpstr>
      <vt:lpstr>punbascargo</vt:lpstr>
      <vt:lpstr>punbashormed</vt:lpstr>
      <vt:lpstr>punbashorsup</vt:lpstr>
      <vt:lpstr>punexten</vt:lpstr>
      <vt:lpstr>punproljorcargo</vt:lpstr>
      <vt:lpstr>puntardifcargo</vt:lpstr>
      <vt:lpstr>puntosadicnina</vt:lpstr>
      <vt:lpstr>PUNTOSbasicos</vt:lpstr>
      <vt:lpstr>puntosexten</vt:lpstr>
      <vt:lpstr>puntosproljor</vt:lpstr>
      <vt:lpstr>puntostardif</vt:lpstr>
      <vt:lpstr>totalremdic25</vt:lpstr>
      <vt:lpstr>totalremjul26</vt:lpstr>
      <vt:lpstr>totalremmay26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huttvictor@gmail.com</dc:creator>
  <cp:lastModifiedBy>huttvictor@gmail.com</cp:lastModifiedBy>
  <dcterms:created xsi:type="dcterms:W3CDTF">2026-03-29T22:32:13Z</dcterms:created>
  <dcterms:modified xsi:type="dcterms:W3CDTF">2026-07-21T02:43:52Z</dcterms:modified>
</cp:coreProperties>
</file>