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spaso\AGMER\Simuladores hasta 2022\"/>
    </mc:Choice>
  </mc:AlternateContent>
  <xr:revisionPtr revIDLastSave="0" documentId="8_{E82C8134-3344-4946-900B-9689ADC3DCFE}" xr6:coauthVersionLast="47" xr6:coauthVersionMax="47" xr10:uidLastSave="{00000000-0000-0000-0000-000000000000}"/>
  <workbookProtection workbookAlgorithmName="SHA-512" workbookHashValue="tiT7+gRDv23xWddxLTJ8teDD8Q4ozt1z8GJZZUt1xhYIFhwMn6FnMwfj/zLNgh/7s8Euo3tBez4iKiJNzQ1mdg==" workbookSaltValue="QrFu9zFsrIaaX4URltjLvQ==" workbookSpinCount="100000" lockStructure="1"/>
  <bookViews>
    <workbookView xWindow="-120" yWindow="-120" windowWidth="20730" windowHeight="11760" xr2:uid="{4A87D5B5-E57C-467D-95DD-A54EDCE4F562}"/>
  </bookViews>
  <sheets>
    <sheet name="Recibo" sheetId="1" r:id="rId1"/>
    <sheet name="Cargos" sheetId="2" r:id="rId2"/>
  </sheets>
  <definedNames>
    <definedName name="adicdir2016">Cargos!$F$3:$F$372</definedName>
    <definedName name="adicdir2022">Cargos!$G$3:$G$372</definedName>
    <definedName name="adichsmedia">Recibo!$D$217</definedName>
    <definedName name="adicnina">Cargos!$J$3:$J$372</definedName>
    <definedName name="aumentojulio26">Recibo!$E$44</definedName>
    <definedName name="aumentomayo26">Recibo!$E$43</definedName>
    <definedName name="Aumentooct24">Recibo!#REF!</definedName>
    <definedName name="Aumentooct25respene25">Recibo!#REF!</definedName>
    <definedName name="Aumentosep24">Recibo!#REF!</definedName>
    <definedName name="Aumentosep25respene25">Recibo!#REF!</definedName>
    <definedName name="aumentoseptiembre26">Recibo!$E$45</definedName>
    <definedName name="cod06cargosdic25">Recibo!$C$54:$C$65</definedName>
    <definedName name="cod06dic25">Recibo!$D$41</definedName>
    <definedName name="compbasico2016">Recibo!$F$76</definedName>
    <definedName name="descreformacargo">Recibo!$C$92</definedName>
    <definedName name="descreformamed">Recibo!$C$227</definedName>
    <definedName name="descreformasup">Recibo!$C$350</definedName>
    <definedName name="frac">Recibo!$F$79</definedName>
    <definedName name="indicedic25">Recibo!$C$39</definedName>
    <definedName name="indicejul26">Recibo!$G$39</definedName>
    <definedName name="indicemay26">Recibo!$E$39</definedName>
    <definedName name="Indiceproljordic25">Recibo!$C$40</definedName>
    <definedName name="Indiceproljorjul26">Recibo!$G$40</definedName>
    <definedName name="Indiceproljormay26">Recibo!$E$40</definedName>
    <definedName name="Indiceproljorsep26">Recibo!$I$40</definedName>
    <definedName name="indicesep26">Recibo!$I$39</definedName>
    <definedName name="NEP">Recibo!$D$80</definedName>
    <definedName name="nina">Recibo!$F$80</definedName>
    <definedName name="nombrecargo">Cargos!$B$3:$B$372</definedName>
    <definedName name="numcargo">Cargos!$A$3:$A$372</definedName>
    <definedName name="numerocargo">Recibo!$A$76</definedName>
    <definedName name="numhorasmed">Recibo!$D$214</definedName>
    <definedName name="numhorassup">Recibo!$D$340</definedName>
    <definedName name="porant">Recibo!$B$54:$B$65</definedName>
    <definedName name="porcantigcargo">Recibo!$D$85</definedName>
    <definedName name="porcantighorasmed">Recibo!$D$215</definedName>
    <definedName name="porcantigsup">Recibo!$D$341</definedName>
    <definedName name="porczona">Recibo!$B$79</definedName>
    <definedName name="porjubcar">Recibo!$F$81</definedName>
    <definedName name="porjubhormed">Recibo!$D$216</definedName>
    <definedName name="porjubhorsup">Recibo!$D$342</definedName>
    <definedName name="proljor">Cargos!$I$3:$I$372</definedName>
    <definedName name="punbascargo">Cargos!$C$3:$C$372</definedName>
    <definedName name="punbasjub">Recibo!$D$87</definedName>
    <definedName name="punexten">Cargos!$K$3:$K$372</definedName>
    <definedName name="puntosadicdir2016">Recibo!$G$76</definedName>
    <definedName name="puntosadicdir2022">Recibo!$I$76</definedName>
    <definedName name="puntosadicnina">Recibo!$H$76</definedName>
    <definedName name="PUNTOSbasicos">Recibo!$B$76</definedName>
    <definedName name="puntoscompbas2016">Cargos!$D$3:$D$372</definedName>
    <definedName name="puntosnep">Recibo!$I$78</definedName>
    <definedName name="puntosproljor">Recibo!$G$87</definedName>
    <definedName name="puntosproljornada">Recibo!$D$76</definedName>
    <definedName name="puntostareadifer">Recibo!$C$76</definedName>
    <definedName name="puntostotalhorassup">Recibo!$D$404</definedName>
    <definedName name="puntotalhorasmed">Recibo!$D$282</definedName>
    <definedName name="solohorassup">Recibo!$D$343</definedName>
    <definedName name="tardif">Cargos!$H$3:$H$372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0" i="1" l="1"/>
  <c r="D92" i="1"/>
  <c r="D227" i="1"/>
  <c r="G80" i="1"/>
  <c r="I78" i="1"/>
  <c r="G166" i="1" s="1"/>
  <c r="G107" i="1" s="1"/>
  <c r="I76" i="1"/>
  <c r="H76" i="1"/>
  <c r="E157" i="1" s="1"/>
  <c r="F76" i="1"/>
  <c r="D76" i="1"/>
  <c r="C76" i="1"/>
  <c r="B76" i="1"/>
  <c r="K166" i="1" l="1"/>
  <c r="K107" i="1" s="1"/>
  <c r="I166" i="1"/>
  <c r="I107" i="1" s="1"/>
  <c r="E166" i="1"/>
  <c r="E107" i="1" s="1"/>
  <c r="B77" i="1"/>
  <c r="G11" i="1" l="1"/>
  <c r="G10" i="1"/>
  <c r="E44" i="1"/>
  <c r="F456" i="1" s="1"/>
  <c r="H42" i="1"/>
  <c r="H41" i="1"/>
  <c r="F42" i="1"/>
  <c r="F41" i="1"/>
  <c r="E423" i="1"/>
  <c r="E413" i="1"/>
  <c r="E384" i="1"/>
  <c r="E353" i="1"/>
  <c r="E301" i="1"/>
  <c r="E291" i="1"/>
  <c r="E262" i="1"/>
  <c r="E168" i="1"/>
  <c r="E131" i="1"/>
  <c r="E116" i="1"/>
  <c r="E108" i="1"/>
  <c r="C174" i="1"/>
  <c r="C203" i="1"/>
  <c r="C144" i="1"/>
  <c r="C397" i="1"/>
  <c r="C329" i="1"/>
  <c r="C275" i="1"/>
  <c r="C451" i="1"/>
  <c r="C422" i="1"/>
  <c r="C300" i="1"/>
  <c r="G412" i="1"/>
  <c r="G410" i="1"/>
  <c r="G290" i="1"/>
  <c r="G289" i="1"/>
  <c r="G287" i="1"/>
  <c r="K362" i="1"/>
  <c r="I262" i="1"/>
  <c r="I259" i="1"/>
  <c r="I256" i="1"/>
  <c r="K240" i="1"/>
  <c r="K423" i="1"/>
  <c r="K413" i="1"/>
  <c r="K412" i="1"/>
  <c r="K358" i="1" s="1"/>
  <c r="K410" i="1"/>
  <c r="K356" i="1" s="1"/>
  <c r="K353" i="1"/>
  <c r="L352" i="1"/>
  <c r="I423" i="1"/>
  <c r="I413" i="1"/>
  <c r="I412" i="1"/>
  <c r="I358" i="1" s="1"/>
  <c r="I410" i="1"/>
  <c r="I356" i="1" s="1"/>
  <c r="I384" i="1"/>
  <c r="I353" i="1"/>
  <c r="K301" i="1"/>
  <c r="K291" i="1"/>
  <c r="K290" i="1"/>
  <c r="K236" i="1" s="1"/>
  <c r="K289" i="1"/>
  <c r="K235" i="1" s="1"/>
  <c r="K287" i="1"/>
  <c r="K233" i="1" s="1"/>
  <c r="I301" i="1"/>
  <c r="I291" i="1"/>
  <c r="I290" i="1"/>
  <c r="I236" i="1" s="1"/>
  <c r="I289" i="1"/>
  <c r="I235" i="1" s="1"/>
  <c r="I287" i="1"/>
  <c r="I233" i="1" s="1"/>
  <c r="K168" i="1"/>
  <c r="K131" i="1"/>
  <c r="K116" i="1"/>
  <c r="K108" i="1"/>
  <c r="I168" i="1"/>
  <c r="I131" i="1"/>
  <c r="I116" i="1"/>
  <c r="I108" i="1"/>
  <c r="C416" i="1"/>
  <c r="G416" i="1" s="1"/>
  <c r="G362" i="1" s="1"/>
  <c r="E289" i="1" l="1"/>
  <c r="E235" i="1" s="1"/>
  <c r="E412" i="1"/>
  <c r="E358" i="1" s="1"/>
  <c r="E45" i="1"/>
  <c r="E290" i="1"/>
  <c r="E236" i="1" s="1"/>
  <c r="F1" i="1"/>
  <c r="F208" i="1"/>
  <c r="F352" i="1"/>
  <c r="E287" i="1"/>
  <c r="E233" i="1" s="1"/>
  <c r="E410" i="1"/>
  <c r="E356" i="1" s="1"/>
  <c r="F94" i="1"/>
  <c r="F283" i="1"/>
  <c r="E416" i="1"/>
  <c r="E362" i="1" s="1"/>
  <c r="I416" i="1"/>
  <c r="I362" i="1" s="1"/>
  <c r="C167" i="1" l="1"/>
  <c r="G108" i="1"/>
  <c r="C294" i="1" l="1"/>
  <c r="E294" i="1" l="1"/>
  <c r="E240" i="1" s="1"/>
  <c r="G294" i="1"/>
  <c r="G240" i="1" s="1"/>
  <c r="I294" i="1"/>
  <c r="I240" i="1" s="1"/>
  <c r="C449" i="1"/>
  <c r="G423" i="1"/>
  <c r="C420" i="1"/>
  <c r="C415" i="1"/>
  <c r="C414" i="1"/>
  <c r="G413" i="1"/>
  <c r="B406" i="1"/>
  <c r="D404" i="1"/>
  <c r="D400" i="1"/>
  <c r="D398" i="1"/>
  <c r="D397" i="1"/>
  <c r="B397" i="1"/>
  <c r="D396" i="1"/>
  <c r="C396" i="1"/>
  <c r="B396" i="1"/>
  <c r="D395" i="1"/>
  <c r="B395" i="1"/>
  <c r="D394" i="1"/>
  <c r="C394" i="1"/>
  <c r="B394" i="1"/>
  <c r="D393" i="1"/>
  <c r="C393" i="1"/>
  <c r="B393" i="1"/>
  <c r="D392" i="1"/>
  <c r="D390" i="1"/>
  <c r="D388" i="1"/>
  <c r="G384" i="1"/>
  <c r="D384" i="1"/>
  <c r="D383" i="1"/>
  <c r="D382" i="1"/>
  <c r="D377" i="1"/>
  <c r="D376" i="1"/>
  <c r="D374" i="1"/>
  <c r="D373" i="1"/>
  <c r="D372" i="1"/>
  <c r="D370" i="1"/>
  <c r="D369" i="1"/>
  <c r="D368" i="1"/>
  <c r="B368" i="1"/>
  <c r="D367" i="1"/>
  <c r="C367" i="1"/>
  <c r="B367" i="1"/>
  <c r="D366" i="1"/>
  <c r="B366" i="1"/>
  <c r="D365" i="1"/>
  <c r="C365" i="1"/>
  <c r="B365" i="1"/>
  <c r="D364" i="1"/>
  <c r="C364" i="1"/>
  <c r="B364" i="1"/>
  <c r="D363" i="1"/>
  <c r="C363" i="1"/>
  <c r="B363" i="1"/>
  <c r="D360" i="1"/>
  <c r="B360" i="1"/>
  <c r="D359" i="1"/>
  <c r="C359" i="1"/>
  <c r="B359" i="1"/>
  <c r="D358" i="1"/>
  <c r="C358" i="1"/>
  <c r="B358" i="1"/>
  <c r="D357" i="1"/>
  <c r="C357" i="1"/>
  <c r="B357" i="1"/>
  <c r="D356" i="1"/>
  <c r="C356" i="1"/>
  <c r="B356" i="1"/>
  <c r="D355" i="1"/>
  <c r="C355" i="1"/>
  <c r="B355" i="1"/>
  <c r="D354" i="1"/>
  <c r="C354" i="1"/>
  <c r="B354" i="1"/>
  <c r="G353" i="1"/>
  <c r="B349" i="1"/>
  <c r="D347" i="1"/>
  <c r="P336" i="1"/>
  <c r="O336" i="1"/>
  <c r="C327" i="1"/>
  <c r="G301" i="1"/>
  <c r="C298" i="1"/>
  <c r="C293" i="1"/>
  <c r="C292" i="1"/>
  <c r="G291" i="1"/>
  <c r="B283" i="1"/>
  <c r="D282" i="1"/>
  <c r="D278" i="1"/>
  <c r="D276" i="1"/>
  <c r="D275" i="1"/>
  <c r="B275" i="1"/>
  <c r="D274" i="1"/>
  <c r="C274" i="1"/>
  <c r="B274" i="1"/>
  <c r="D273" i="1"/>
  <c r="B273" i="1"/>
  <c r="D272" i="1"/>
  <c r="C272" i="1"/>
  <c r="B272" i="1"/>
  <c r="D271" i="1"/>
  <c r="C271" i="1"/>
  <c r="B271" i="1"/>
  <c r="D270" i="1"/>
  <c r="D268" i="1"/>
  <c r="D266" i="1"/>
  <c r="D265" i="1"/>
  <c r="G262" i="1"/>
  <c r="D262" i="1"/>
  <c r="D255" i="1"/>
  <c r="D254" i="1"/>
  <c r="D250" i="1"/>
  <c r="D248" i="1"/>
  <c r="D247" i="1"/>
  <c r="D246" i="1"/>
  <c r="B246" i="1"/>
  <c r="D245" i="1"/>
  <c r="C245" i="1"/>
  <c r="B245" i="1"/>
  <c r="D244" i="1"/>
  <c r="B244" i="1"/>
  <c r="D243" i="1"/>
  <c r="C243" i="1"/>
  <c r="B243" i="1"/>
  <c r="D242" i="1"/>
  <c r="C242" i="1"/>
  <c r="B242" i="1"/>
  <c r="D241" i="1"/>
  <c r="B241" i="1"/>
  <c r="D238" i="1"/>
  <c r="B238" i="1"/>
  <c r="D237" i="1"/>
  <c r="C237" i="1"/>
  <c r="B237" i="1"/>
  <c r="D236" i="1"/>
  <c r="C236" i="1"/>
  <c r="B236" i="1"/>
  <c r="D235" i="1"/>
  <c r="C235" i="1"/>
  <c r="B235" i="1"/>
  <c r="D234" i="1"/>
  <c r="C234" i="1"/>
  <c r="B234" i="1"/>
  <c r="D233" i="1"/>
  <c r="C233" i="1"/>
  <c r="B233" i="1"/>
  <c r="D232" i="1"/>
  <c r="C232" i="1"/>
  <c r="B232" i="1"/>
  <c r="D231" i="1"/>
  <c r="C231" i="1"/>
  <c r="B231" i="1"/>
  <c r="D230" i="1"/>
  <c r="B226" i="1"/>
  <c r="D224" i="1"/>
  <c r="P210" i="1"/>
  <c r="O210" i="1"/>
  <c r="C201" i="1"/>
  <c r="C172" i="1"/>
  <c r="G168" i="1"/>
  <c r="C165" i="1"/>
  <c r="D147" i="1"/>
  <c r="D145" i="1"/>
  <c r="D144" i="1"/>
  <c r="B144" i="1"/>
  <c r="D143" i="1"/>
  <c r="C143" i="1"/>
  <c r="B143" i="1"/>
  <c r="D142" i="1"/>
  <c r="B142" i="1"/>
  <c r="D141" i="1"/>
  <c r="C141" i="1"/>
  <c r="B141" i="1"/>
  <c r="D140" i="1"/>
  <c r="C140" i="1"/>
  <c r="B140" i="1"/>
  <c r="D139" i="1"/>
  <c r="D137" i="1"/>
  <c r="D135" i="1"/>
  <c r="G131" i="1"/>
  <c r="D131" i="1"/>
  <c r="D130" i="1"/>
  <c r="D129" i="1"/>
  <c r="D125" i="1"/>
  <c r="D124" i="1"/>
  <c r="D123" i="1"/>
  <c r="D119" i="1"/>
  <c r="D117" i="1"/>
  <c r="G116" i="1"/>
  <c r="D116" i="1"/>
  <c r="D115" i="1"/>
  <c r="B115" i="1"/>
  <c r="D114" i="1"/>
  <c r="C114" i="1"/>
  <c r="B114" i="1"/>
  <c r="D113" i="1"/>
  <c r="B113" i="1"/>
  <c r="D112" i="1"/>
  <c r="C112" i="1"/>
  <c r="B112" i="1"/>
  <c r="D111" i="1"/>
  <c r="C111" i="1"/>
  <c r="B111" i="1"/>
  <c r="D110" i="1"/>
  <c r="D109" i="1"/>
  <c r="D105" i="1"/>
  <c r="B105" i="1"/>
  <c r="D104" i="1"/>
  <c r="B104" i="1"/>
  <c r="D103" i="1"/>
  <c r="B103" i="1"/>
  <c r="D102" i="1"/>
  <c r="B102" i="1"/>
  <c r="D101" i="1"/>
  <c r="B101" i="1"/>
  <c r="D100" i="1"/>
  <c r="B100" i="1"/>
  <c r="D99" i="1"/>
  <c r="B99" i="1"/>
  <c r="D98" i="1"/>
  <c r="B98" i="1"/>
  <c r="D97" i="1"/>
  <c r="B97" i="1"/>
  <c r="D96" i="1"/>
  <c r="B96" i="1"/>
  <c r="D95" i="1"/>
  <c r="B95" i="1"/>
  <c r="D90" i="1"/>
  <c r="L81" i="1"/>
  <c r="J81" i="1"/>
  <c r="F79" i="1"/>
  <c r="K81" i="1"/>
  <c r="G87" i="1"/>
  <c r="M65" i="1"/>
  <c r="N65" i="1" s="1"/>
  <c r="E372" i="2"/>
  <c r="E371" i="2"/>
  <c r="E370" i="2"/>
  <c r="E369" i="2"/>
  <c r="E368" i="2"/>
  <c r="E365" i="2"/>
  <c r="E364" i="2"/>
  <c r="E363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5" i="2"/>
  <c r="E344" i="2"/>
  <c r="E343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98" i="1" l="1"/>
  <c r="E161" i="1"/>
  <c r="E102" i="1" s="1"/>
  <c r="E164" i="1"/>
  <c r="E105" i="1" s="1"/>
  <c r="E292" i="1"/>
  <c r="E238" i="1" s="1"/>
  <c r="E155" i="1"/>
  <c r="E96" i="1" s="1"/>
  <c r="E285" i="1"/>
  <c r="E158" i="1"/>
  <c r="E99" i="1" s="1"/>
  <c r="E408" i="1"/>
  <c r="E156" i="1"/>
  <c r="E97" i="1" s="1"/>
  <c r="E414" i="1"/>
  <c r="E360" i="1" s="1"/>
  <c r="E415" i="1"/>
  <c r="E361" i="1" s="1"/>
  <c r="E165" i="1"/>
  <c r="E106" i="1" s="1"/>
  <c r="G155" i="1"/>
  <c r="G96" i="1" s="1"/>
  <c r="G285" i="1"/>
  <c r="E293" i="1"/>
  <c r="E239" i="1" s="1"/>
  <c r="G414" i="1"/>
  <c r="G360" i="1" s="1"/>
  <c r="G408" i="1"/>
  <c r="G292" i="1"/>
  <c r="G238" i="1" s="1"/>
  <c r="G158" i="1"/>
  <c r="G99" i="1" s="1"/>
  <c r="G157" i="1"/>
  <c r="G98" i="1" s="1"/>
  <c r="G156" i="1"/>
  <c r="G97" i="1" s="1"/>
  <c r="G161" i="1"/>
  <c r="G102" i="1" s="1"/>
  <c r="G164" i="1"/>
  <c r="G105" i="1" s="1"/>
  <c r="K156" i="1"/>
  <c r="K97" i="1" s="1"/>
  <c r="I156" i="1"/>
  <c r="I97" i="1" s="1"/>
  <c r="K155" i="1"/>
  <c r="K96" i="1" s="1"/>
  <c r="I155" i="1"/>
  <c r="I96" i="1" s="1"/>
  <c r="I414" i="1"/>
  <c r="I360" i="1" s="1"/>
  <c r="K414" i="1"/>
  <c r="K360" i="1" s="1"/>
  <c r="K161" i="1"/>
  <c r="K102" i="1" s="1"/>
  <c r="I161" i="1"/>
  <c r="I102" i="1" s="1"/>
  <c r="K164" i="1"/>
  <c r="K105" i="1" s="1"/>
  <c r="I164" i="1"/>
  <c r="I105" i="1" s="1"/>
  <c r="K293" i="1"/>
  <c r="K239" i="1" s="1"/>
  <c r="I293" i="1"/>
  <c r="I239" i="1" s="1"/>
  <c r="K165" i="1"/>
  <c r="K106" i="1" s="1"/>
  <c r="I165" i="1"/>
  <c r="I106" i="1" s="1"/>
  <c r="K408" i="1"/>
  <c r="I408" i="1"/>
  <c r="I415" i="1"/>
  <c r="I361" i="1" s="1"/>
  <c r="K415" i="1"/>
  <c r="K361" i="1" s="1"/>
  <c r="I285" i="1"/>
  <c r="K285" i="1"/>
  <c r="K158" i="1"/>
  <c r="K99" i="1" s="1"/>
  <c r="I158" i="1"/>
  <c r="I99" i="1" s="1"/>
  <c r="K157" i="1"/>
  <c r="K98" i="1" s="1"/>
  <c r="I157" i="1"/>
  <c r="I98" i="1" s="1"/>
  <c r="K292" i="1"/>
  <c r="K238" i="1" s="1"/>
  <c r="I292" i="1"/>
  <c r="I238" i="1" s="1"/>
  <c r="L57" i="1"/>
  <c r="M61" i="1"/>
  <c r="N61" i="1" s="1"/>
  <c r="O61" i="1" s="1"/>
  <c r="P61" i="1" s="1"/>
  <c r="Q61" i="1" s="1"/>
  <c r="M62" i="1"/>
  <c r="N62" i="1" s="1"/>
  <c r="O62" i="1" s="1"/>
  <c r="P62" i="1" s="1"/>
  <c r="Q62" i="1" s="1"/>
  <c r="M54" i="1"/>
  <c r="N54" i="1" s="1"/>
  <c r="O54" i="1" s="1"/>
  <c r="P54" i="1" s="1"/>
  <c r="Q54" i="1" s="1"/>
  <c r="L59" i="1"/>
  <c r="L64" i="1"/>
  <c r="M57" i="1"/>
  <c r="N57" i="1" s="1"/>
  <c r="O57" i="1" s="1"/>
  <c r="P57" i="1" s="1"/>
  <c r="Q57" i="1" s="1"/>
  <c r="L55" i="1"/>
  <c r="L60" i="1"/>
  <c r="M64" i="1"/>
  <c r="N64" i="1" s="1"/>
  <c r="O64" i="1" s="1"/>
  <c r="P64" i="1" s="1"/>
  <c r="Q64" i="1" s="1"/>
  <c r="C64" i="1" s="1"/>
  <c r="D349" i="1"/>
  <c r="L56" i="1"/>
  <c r="M58" i="1"/>
  <c r="N58" i="1" s="1"/>
  <c r="O58" i="1" s="1"/>
  <c r="P58" i="1" s="1"/>
  <c r="Q58" i="1" s="1"/>
  <c r="C58" i="1" s="1"/>
  <c r="M60" i="1"/>
  <c r="N60" i="1" s="1"/>
  <c r="O60" i="1" s="1"/>
  <c r="P60" i="1" s="1"/>
  <c r="Q60" i="1" s="1"/>
  <c r="L65" i="1"/>
  <c r="M56" i="1"/>
  <c r="N56" i="1" s="1"/>
  <c r="O56" i="1" s="1"/>
  <c r="P56" i="1" s="1"/>
  <c r="Q56" i="1" s="1"/>
  <c r="C56" i="1" s="1"/>
  <c r="L61" i="1"/>
  <c r="L63" i="1"/>
  <c r="G236" i="1"/>
  <c r="G358" i="1"/>
  <c r="G356" i="1"/>
  <c r="G235" i="1"/>
  <c r="G233" i="1"/>
  <c r="D226" i="1"/>
  <c r="G293" i="1"/>
  <c r="G239" i="1" s="1"/>
  <c r="D87" i="1"/>
  <c r="O65" i="1"/>
  <c r="P65" i="1" s="1"/>
  <c r="Q65" i="1" s="1"/>
  <c r="C65" i="1" s="1"/>
  <c r="M63" i="1"/>
  <c r="N63" i="1" s="1"/>
  <c r="O63" i="1" s="1"/>
  <c r="P63" i="1" s="1"/>
  <c r="Q63" i="1" s="1"/>
  <c r="L62" i="1"/>
  <c r="M59" i="1"/>
  <c r="N59" i="1" s="1"/>
  <c r="O59" i="1" s="1"/>
  <c r="P59" i="1" s="1"/>
  <c r="Q59" i="1" s="1"/>
  <c r="L58" i="1"/>
  <c r="M55" i="1"/>
  <c r="N55" i="1" s="1"/>
  <c r="O55" i="1" s="1"/>
  <c r="P55" i="1" s="1"/>
  <c r="Q55" i="1" s="1"/>
  <c r="C55" i="1" s="1"/>
  <c r="L54" i="1"/>
  <c r="G415" i="1"/>
  <c r="G361" i="1" s="1"/>
  <c r="G165" i="1"/>
  <c r="G106" i="1" s="1"/>
  <c r="C63" i="1" l="1"/>
  <c r="C54" i="1"/>
  <c r="C57" i="1"/>
  <c r="C62" i="1"/>
  <c r="C59" i="1"/>
  <c r="C60" i="1"/>
  <c r="C61" i="1"/>
  <c r="E154" i="1"/>
  <c r="E286" i="1"/>
  <c r="E232" i="1" s="1"/>
  <c r="E231" i="1"/>
  <c r="G154" i="1"/>
  <c r="E354" i="1"/>
  <c r="E409" i="1"/>
  <c r="E355" i="1" s="1"/>
  <c r="I286" i="1"/>
  <c r="I232" i="1" s="1"/>
  <c r="I231" i="1"/>
  <c r="K354" i="1"/>
  <c r="K409" i="1"/>
  <c r="K355" i="1" s="1"/>
  <c r="K154" i="1"/>
  <c r="I154" i="1"/>
  <c r="K286" i="1"/>
  <c r="K232" i="1" s="1"/>
  <c r="K231" i="1"/>
  <c r="I409" i="1"/>
  <c r="I355" i="1" s="1"/>
  <c r="I354" i="1"/>
  <c r="L41" i="1"/>
  <c r="D41" i="1"/>
  <c r="G286" i="1"/>
  <c r="G232" i="1" s="1"/>
  <c r="G231" i="1"/>
  <c r="G409" i="1"/>
  <c r="G355" i="1" s="1"/>
  <c r="G354" i="1"/>
  <c r="E159" i="1" l="1"/>
  <c r="G159" i="1"/>
  <c r="G100" i="1" s="1"/>
  <c r="I159" i="1"/>
  <c r="K159" i="1"/>
  <c r="K100" i="1" s="1"/>
  <c r="E288" i="1"/>
  <c r="E234" i="1" s="1"/>
  <c r="E162" i="1"/>
  <c r="E103" i="1" s="1"/>
  <c r="G162" i="1"/>
  <c r="G103" i="1" s="1"/>
  <c r="E160" i="1"/>
  <c r="E101" i="1" s="1"/>
  <c r="E95" i="1"/>
  <c r="E411" i="1"/>
  <c r="E357" i="1" s="1"/>
  <c r="I288" i="1"/>
  <c r="I234" i="1" s="1"/>
  <c r="I411" i="1"/>
  <c r="I357" i="1" s="1"/>
  <c r="K288" i="1"/>
  <c r="K234" i="1" s="1"/>
  <c r="I160" i="1"/>
  <c r="I101" i="1" s="1"/>
  <c r="I95" i="1"/>
  <c r="K162" i="1"/>
  <c r="K103" i="1" s="1"/>
  <c r="I162" i="1"/>
  <c r="I103" i="1" s="1"/>
  <c r="K160" i="1"/>
  <c r="K101" i="1" s="1"/>
  <c r="K95" i="1"/>
  <c r="K411" i="1"/>
  <c r="G288" i="1"/>
  <c r="G295" i="1" s="1"/>
  <c r="G160" i="1"/>
  <c r="G101" i="1" s="1"/>
  <c r="G95" i="1"/>
  <c r="G411" i="1"/>
  <c r="G417" i="1" s="1"/>
  <c r="I163" i="1" l="1"/>
  <c r="I104" i="1" s="1"/>
  <c r="E163" i="1"/>
  <c r="E104" i="1" s="1"/>
  <c r="K163" i="1"/>
  <c r="K104" i="1" s="1"/>
  <c r="G163" i="1"/>
  <c r="I100" i="1"/>
  <c r="E100" i="1"/>
  <c r="E295" i="1"/>
  <c r="E305" i="1" s="1"/>
  <c r="E251" i="1" s="1"/>
  <c r="E417" i="1"/>
  <c r="G421" i="1"/>
  <c r="G427" i="1"/>
  <c r="G419" i="1"/>
  <c r="G422" i="1"/>
  <c r="G418" i="1"/>
  <c r="G420" i="1"/>
  <c r="G305" i="1"/>
  <c r="G299" i="1"/>
  <c r="G298" i="1"/>
  <c r="G297" i="1"/>
  <c r="G300" i="1"/>
  <c r="G296" i="1"/>
  <c r="K295" i="1"/>
  <c r="I417" i="1"/>
  <c r="I295" i="1"/>
  <c r="K357" i="1"/>
  <c r="K417" i="1"/>
  <c r="G234" i="1"/>
  <c r="G357" i="1"/>
  <c r="E298" i="1" l="1"/>
  <c r="E244" i="1" s="1"/>
  <c r="E296" i="1"/>
  <c r="E242" i="1" s="1"/>
  <c r="E241" i="1"/>
  <c r="E297" i="1"/>
  <c r="E243" i="1" s="1"/>
  <c r="E299" i="1"/>
  <c r="E245" i="1" s="1"/>
  <c r="E300" i="1"/>
  <c r="E246" i="1" s="1"/>
  <c r="E322" i="1"/>
  <c r="E327" i="1" s="1"/>
  <c r="E273" i="1" s="1"/>
  <c r="E169" i="1"/>
  <c r="E171" i="1" s="1"/>
  <c r="E112" i="1" s="1"/>
  <c r="E419" i="1"/>
  <c r="E365" i="1" s="1"/>
  <c r="E363" i="1"/>
  <c r="E444" i="1"/>
  <c r="E427" i="1"/>
  <c r="E373" i="1" s="1"/>
  <c r="E422" i="1"/>
  <c r="E368" i="1" s="1"/>
  <c r="E418" i="1"/>
  <c r="E421" i="1"/>
  <c r="E367" i="1" s="1"/>
  <c r="E420" i="1"/>
  <c r="E366" i="1" s="1"/>
  <c r="I444" i="1"/>
  <c r="I447" i="1" s="1"/>
  <c r="I422" i="1"/>
  <c r="I368" i="1" s="1"/>
  <c r="I418" i="1"/>
  <c r="I420" i="1"/>
  <c r="I366" i="1" s="1"/>
  <c r="I419" i="1"/>
  <c r="I365" i="1" s="1"/>
  <c r="I427" i="1"/>
  <c r="I373" i="1" s="1"/>
  <c r="I421" i="1"/>
  <c r="I367" i="1" s="1"/>
  <c r="K427" i="1"/>
  <c r="K373" i="1" s="1"/>
  <c r="K419" i="1"/>
  <c r="K365" i="1" s="1"/>
  <c r="K421" i="1"/>
  <c r="K367" i="1" s="1"/>
  <c r="K420" i="1"/>
  <c r="K366" i="1" s="1"/>
  <c r="K422" i="1"/>
  <c r="K368" i="1" s="1"/>
  <c r="K418" i="1"/>
  <c r="K297" i="1"/>
  <c r="K243" i="1" s="1"/>
  <c r="K300" i="1"/>
  <c r="K246" i="1" s="1"/>
  <c r="K296" i="1"/>
  <c r="K242" i="1" s="1"/>
  <c r="K305" i="1"/>
  <c r="K251" i="1" s="1"/>
  <c r="K299" i="1"/>
  <c r="K245" i="1" s="1"/>
  <c r="K298" i="1"/>
  <c r="K244" i="1" s="1"/>
  <c r="I300" i="1"/>
  <c r="I246" i="1" s="1"/>
  <c r="I296" i="1"/>
  <c r="I305" i="1"/>
  <c r="I251" i="1" s="1"/>
  <c r="I299" i="1"/>
  <c r="I245" i="1" s="1"/>
  <c r="I298" i="1"/>
  <c r="I244" i="1" s="1"/>
  <c r="I297" i="1"/>
  <c r="I243" i="1" s="1"/>
  <c r="I363" i="1"/>
  <c r="G104" i="1"/>
  <c r="I169" i="1"/>
  <c r="K322" i="1"/>
  <c r="K328" i="1" s="1"/>
  <c r="K274" i="1" s="1"/>
  <c r="K241" i="1"/>
  <c r="I322" i="1"/>
  <c r="I241" i="1"/>
  <c r="K169" i="1"/>
  <c r="K444" i="1"/>
  <c r="K363" i="1"/>
  <c r="G169" i="1"/>
  <c r="G170" i="1" s="1"/>
  <c r="G367" i="1"/>
  <c r="G366" i="1"/>
  <c r="G373" i="1"/>
  <c r="G363" i="1"/>
  <c r="G368" i="1"/>
  <c r="G365" i="1"/>
  <c r="G444" i="1"/>
  <c r="G245" i="1"/>
  <c r="G246" i="1"/>
  <c r="G243" i="1"/>
  <c r="G241" i="1"/>
  <c r="G251" i="1"/>
  <c r="G322" i="1"/>
  <c r="G244" i="1"/>
  <c r="E302" i="1" l="1"/>
  <c r="E304" i="1" s="1"/>
  <c r="E328" i="1"/>
  <c r="E274" i="1" s="1"/>
  <c r="E325" i="1"/>
  <c r="E271" i="1" s="1"/>
  <c r="E329" i="1"/>
  <c r="E275" i="1" s="1"/>
  <c r="E326" i="1"/>
  <c r="E272" i="1" s="1"/>
  <c r="E268" i="1"/>
  <c r="E170" i="1"/>
  <c r="E111" i="1" s="1"/>
  <c r="E173" i="1"/>
  <c r="E114" i="1" s="1"/>
  <c r="E174" i="1"/>
  <c r="E115" i="1" s="1"/>
  <c r="E196" i="1"/>
  <c r="E137" i="1" s="1"/>
  <c r="E179" i="1"/>
  <c r="E120" i="1" s="1"/>
  <c r="E172" i="1"/>
  <c r="E113" i="1" s="1"/>
  <c r="E110" i="1"/>
  <c r="I450" i="1"/>
  <c r="I396" i="1" s="1"/>
  <c r="I448" i="1"/>
  <c r="I394" i="1" s="1"/>
  <c r="E449" i="1"/>
  <c r="E395" i="1" s="1"/>
  <c r="E448" i="1"/>
  <c r="E394" i="1" s="1"/>
  <c r="E390" i="1"/>
  <c r="E451" i="1"/>
  <c r="E397" i="1" s="1"/>
  <c r="E447" i="1"/>
  <c r="E450" i="1"/>
  <c r="E396" i="1" s="1"/>
  <c r="E424" i="1"/>
  <c r="E364" i="1"/>
  <c r="I449" i="1"/>
  <c r="I395" i="1" s="1"/>
  <c r="I390" i="1"/>
  <c r="I451" i="1"/>
  <c r="I397" i="1" s="1"/>
  <c r="K268" i="1"/>
  <c r="K327" i="1"/>
  <c r="K273" i="1" s="1"/>
  <c r="K174" i="1"/>
  <c r="K115" i="1" s="1"/>
  <c r="K171" i="1"/>
  <c r="K112" i="1" s="1"/>
  <c r="K172" i="1"/>
  <c r="K113" i="1" s="1"/>
  <c r="K173" i="1"/>
  <c r="K114" i="1" s="1"/>
  <c r="K179" i="1"/>
  <c r="K120" i="1" s="1"/>
  <c r="K170" i="1"/>
  <c r="G196" i="1"/>
  <c r="G203" i="1" s="1"/>
  <c r="G144" i="1" s="1"/>
  <c r="G179" i="1"/>
  <c r="G120" i="1" s="1"/>
  <c r="G172" i="1"/>
  <c r="G113" i="1" s="1"/>
  <c r="G174" i="1"/>
  <c r="G115" i="1" s="1"/>
  <c r="G173" i="1"/>
  <c r="G114" i="1" s="1"/>
  <c r="G171" i="1"/>
  <c r="G112" i="1" s="1"/>
  <c r="G111" i="1"/>
  <c r="I173" i="1"/>
  <c r="I114" i="1" s="1"/>
  <c r="I170" i="1"/>
  <c r="I111" i="1" s="1"/>
  <c r="I179" i="1"/>
  <c r="I120" i="1" s="1"/>
  <c r="I172" i="1"/>
  <c r="I113" i="1" s="1"/>
  <c r="I171" i="1"/>
  <c r="I112" i="1" s="1"/>
  <c r="I174" i="1"/>
  <c r="I115" i="1" s="1"/>
  <c r="K329" i="1"/>
  <c r="K275" i="1" s="1"/>
  <c r="I424" i="1"/>
  <c r="I370" i="1" s="1"/>
  <c r="I110" i="1"/>
  <c r="K326" i="1"/>
  <c r="K272" i="1" s="1"/>
  <c r="K325" i="1"/>
  <c r="I364" i="1"/>
  <c r="I196" i="1"/>
  <c r="I201" i="1" s="1"/>
  <c r="I142" i="1" s="1"/>
  <c r="K302" i="1"/>
  <c r="K248" i="1" s="1"/>
  <c r="I242" i="1"/>
  <c r="I302" i="1"/>
  <c r="I328" i="1"/>
  <c r="I274" i="1" s="1"/>
  <c r="I325" i="1"/>
  <c r="I326" i="1"/>
  <c r="I272" i="1" s="1"/>
  <c r="I329" i="1"/>
  <c r="I275" i="1" s="1"/>
  <c r="I327" i="1"/>
  <c r="I273" i="1" s="1"/>
  <c r="I268" i="1"/>
  <c r="K449" i="1"/>
  <c r="K395" i="1" s="1"/>
  <c r="K447" i="1"/>
  <c r="K390" i="1"/>
  <c r="K451" i="1"/>
  <c r="K397" i="1" s="1"/>
  <c r="K450" i="1"/>
  <c r="K396" i="1" s="1"/>
  <c r="K448" i="1"/>
  <c r="K394" i="1" s="1"/>
  <c r="I393" i="1"/>
  <c r="K196" i="1"/>
  <c r="K203" i="1" s="1"/>
  <c r="K144" i="1" s="1"/>
  <c r="K110" i="1"/>
  <c r="K424" i="1"/>
  <c r="K364" i="1"/>
  <c r="G110" i="1"/>
  <c r="G447" i="1"/>
  <c r="G450" i="1"/>
  <c r="G396" i="1" s="1"/>
  <c r="G451" i="1"/>
  <c r="G397" i="1" s="1"/>
  <c r="G448" i="1"/>
  <c r="G394" i="1" s="1"/>
  <c r="G449" i="1"/>
  <c r="G395" i="1" s="1"/>
  <c r="G390" i="1"/>
  <c r="G424" i="1"/>
  <c r="G364" i="1"/>
  <c r="G302" i="1"/>
  <c r="G242" i="1"/>
  <c r="G325" i="1"/>
  <c r="G327" i="1"/>
  <c r="G273" i="1" s="1"/>
  <c r="G326" i="1"/>
  <c r="G272" i="1" s="1"/>
  <c r="G268" i="1"/>
  <c r="G328" i="1"/>
  <c r="G274" i="1" s="1"/>
  <c r="G329" i="1"/>
  <c r="G275" i="1" s="1"/>
  <c r="E248" i="1" l="1"/>
  <c r="E330" i="1"/>
  <c r="E332" i="1" s="1"/>
  <c r="E278" i="1" s="1"/>
  <c r="E201" i="1"/>
  <c r="E142" i="1" s="1"/>
  <c r="E176" i="1"/>
  <c r="E178" i="1" s="1"/>
  <c r="E199" i="1"/>
  <c r="E140" i="1" s="1"/>
  <c r="E200" i="1"/>
  <c r="E141" i="1" s="1"/>
  <c r="E202" i="1"/>
  <c r="E143" i="1" s="1"/>
  <c r="E203" i="1"/>
  <c r="E144" i="1" s="1"/>
  <c r="G202" i="1"/>
  <c r="G143" i="1" s="1"/>
  <c r="E276" i="1"/>
  <c r="E393" i="1"/>
  <c r="E452" i="1"/>
  <c r="E306" i="1"/>
  <c r="E280" i="1"/>
  <c r="E250" i="1"/>
  <c r="E227" i="1" s="1"/>
  <c r="E370" i="1"/>
  <c r="E426" i="1"/>
  <c r="G200" i="1"/>
  <c r="G141" i="1" s="1"/>
  <c r="G201" i="1"/>
  <c r="G142" i="1" s="1"/>
  <c r="I137" i="1"/>
  <c r="G137" i="1"/>
  <c r="I452" i="1"/>
  <c r="I454" i="1" s="1"/>
  <c r="I400" i="1" s="1"/>
  <c r="I203" i="1"/>
  <c r="I144" i="1" s="1"/>
  <c r="G199" i="1"/>
  <c r="G140" i="1" s="1"/>
  <c r="I426" i="1"/>
  <c r="I402" i="1" s="1"/>
  <c r="K304" i="1"/>
  <c r="K330" i="1"/>
  <c r="K276" i="1" s="1"/>
  <c r="K271" i="1"/>
  <c r="I199" i="1"/>
  <c r="I140" i="1" s="1"/>
  <c r="I176" i="1"/>
  <c r="I117" i="1" s="1"/>
  <c r="I200" i="1"/>
  <c r="I141" i="1" s="1"/>
  <c r="I202" i="1"/>
  <c r="I143" i="1" s="1"/>
  <c r="I330" i="1"/>
  <c r="I271" i="1"/>
  <c r="I304" i="1"/>
  <c r="I248" i="1"/>
  <c r="K137" i="1"/>
  <c r="K199" i="1"/>
  <c r="K202" i="1"/>
  <c r="K143" i="1" s="1"/>
  <c r="K200" i="1"/>
  <c r="K141" i="1" s="1"/>
  <c r="K201" i="1"/>
  <c r="K142" i="1" s="1"/>
  <c r="I398" i="1"/>
  <c r="K176" i="1"/>
  <c r="K111" i="1"/>
  <c r="K370" i="1"/>
  <c r="K426" i="1"/>
  <c r="K452" i="1"/>
  <c r="K393" i="1"/>
  <c r="G176" i="1"/>
  <c r="G117" i="1" s="1"/>
  <c r="G452" i="1"/>
  <c r="G393" i="1"/>
  <c r="G330" i="1"/>
  <c r="G271" i="1"/>
  <c r="G370" i="1"/>
  <c r="G426" i="1"/>
  <c r="G248" i="1"/>
  <c r="G304" i="1"/>
  <c r="E308" i="1" s="1"/>
  <c r="E117" i="1" l="1"/>
  <c r="E204" i="1"/>
  <c r="E145" i="1" s="1"/>
  <c r="E224" i="1"/>
  <c r="K280" i="1"/>
  <c r="E254" i="1"/>
  <c r="E309" i="1"/>
  <c r="E255" i="1" s="1"/>
  <c r="E314" i="1"/>
  <c r="E180" i="1"/>
  <c r="E151" i="1"/>
  <c r="E119" i="1"/>
  <c r="E92" i="1" s="1"/>
  <c r="E252" i="1"/>
  <c r="E225" i="1" s="1"/>
  <c r="F225" i="1" s="1"/>
  <c r="E281" i="1"/>
  <c r="E398" i="1"/>
  <c r="E454" i="1"/>
  <c r="E400" i="1" s="1"/>
  <c r="E428" i="1"/>
  <c r="E402" i="1"/>
  <c r="E372" i="1"/>
  <c r="E350" i="1" s="1"/>
  <c r="E436" i="1"/>
  <c r="E430" i="1"/>
  <c r="G204" i="1"/>
  <c r="G145" i="1" s="1"/>
  <c r="K250" i="1"/>
  <c r="K224" i="1" s="1"/>
  <c r="N211" i="1" s="1"/>
  <c r="I428" i="1"/>
  <c r="I403" i="1" s="1"/>
  <c r="K306" i="1"/>
  <c r="E317" i="1" s="1"/>
  <c r="I372" i="1"/>
  <c r="I347" i="1" s="1"/>
  <c r="N338" i="1" s="1"/>
  <c r="K332" i="1"/>
  <c r="K278" i="1" s="1"/>
  <c r="I178" i="1"/>
  <c r="I119" i="1" s="1"/>
  <c r="I90" i="1" s="1"/>
  <c r="J83" i="1" s="1"/>
  <c r="I204" i="1"/>
  <c r="I145" i="1" s="1"/>
  <c r="G436" i="1"/>
  <c r="G437" i="1" s="1"/>
  <c r="G430" i="1"/>
  <c r="G431" i="1" s="1"/>
  <c r="G314" i="1"/>
  <c r="G315" i="1" s="1"/>
  <c r="G308" i="1"/>
  <c r="G309" i="1" s="1"/>
  <c r="I436" i="1"/>
  <c r="I437" i="1" s="1"/>
  <c r="I383" i="1" s="1"/>
  <c r="I430" i="1"/>
  <c r="I431" i="1" s="1"/>
  <c r="I377" i="1" s="1"/>
  <c r="I314" i="1"/>
  <c r="I308" i="1"/>
  <c r="I306" i="1"/>
  <c r="I250" i="1"/>
  <c r="I224" i="1" s="1"/>
  <c r="N212" i="1" s="1"/>
  <c r="O212" i="1" s="1"/>
  <c r="P212" i="1" s="1"/>
  <c r="I280" i="1"/>
  <c r="I276" i="1"/>
  <c r="I332" i="1"/>
  <c r="I278" i="1" s="1"/>
  <c r="G178" i="1"/>
  <c r="G151" i="1" s="1"/>
  <c r="K117" i="1"/>
  <c r="K178" i="1"/>
  <c r="E188" i="1" s="1"/>
  <c r="K372" i="1"/>
  <c r="K347" i="1" s="1"/>
  <c r="N337" i="1" s="1"/>
  <c r="K428" i="1"/>
  <c r="K402" i="1"/>
  <c r="K398" i="1"/>
  <c r="K454" i="1"/>
  <c r="K400" i="1" s="1"/>
  <c r="K140" i="1"/>
  <c r="K204" i="1"/>
  <c r="G428" i="1"/>
  <c r="G372" i="1"/>
  <c r="G350" i="1" s="1"/>
  <c r="G402" i="1"/>
  <c r="G306" i="1"/>
  <c r="E311" i="1" s="1"/>
  <c r="G250" i="1"/>
  <c r="G227" i="1" s="1"/>
  <c r="G280" i="1"/>
  <c r="G276" i="1"/>
  <c r="G332" i="1"/>
  <c r="G278" i="1" s="1"/>
  <c r="G398" i="1"/>
  <c r="G454" i="1"/>
  <c r="G400" i="1" s="1"/>
  <c r="F224" i="1" l="1"/>
  <c r="E223" i="1"/>
  <c r="E206" i="1"/>
  <c r="E147" i="1" s="1"/>
  <c r="E228" i="1"/>
  <c r="F227" i="1"/>
  <c r="E347" i="1"/>
  <c r="G347" i="1"/>
  <c r="G346" i="1" s="1"/>
  <c r="G224" i="1"/>
  <c r="G223" i="1" s="1"/>
  <c r="H227" i="1"/>
  <c r="E90" i="1"/>
  <c r="E89" i="1" s="1"/>
  <c r="J86" i="1"/>
  <c r="K252" i="1"/>
  <c r="K225" i="1" s="1"/>
  <c r="E312" i="1"/>
  <c r="E258" i="1" s="1"/>
  <c r="E257" i="1"/>
  <c r="E437" i="1"/>
  <c r="E383" i="1" s="1"/>
  <c r="E382" i="1"/>
  <c r="E129" i="1"/>
  <c r="E189" i="1"/>
  <c r="E130" i="1" s="1"/>
  <c r="E260" i="1"/>
  <c r="E315" i="1"/>
  <c r="E261" i="1" s="1"/>
  <c r="E318" i="1"/>
  <c r="E264" i="1" s="1"/>
  <c r="E263" i="1"/>
  <c r="E152" i="1"/>
  <c r="E121" i="1"/>
  <c r="E91" i="1" s="1"/>
  <c r="F91" i="1" s="1"/>
  <c r="G206" i="1"/>
  <c r="G147" i="1" s="1"/>
  <c r="I151" i="1"/>
  <c r="E431" i="1"/>
  <c r="E377" i="1" s="1"/>
  <c r="E376" i="1"/>
  <c r="E403" i="1"/>
  <c r="E439" i="1"/>
  <c r="E433" i="1"/>
  <c r="E374" i="1"/>
  <c r="E182" i="1"/>
  <c r="K281" i="1"/>
  <c r="I374" i="1"/>
  <c r="I348" i="1" s="1"/>
  <c r="I206" i="1"/>
  <c r="I147" i="1" s="1"/>
  <c r="I180" i="1"/>
  <c r="I152" i="1" s="1"/>
  <c r="I188" i="1"/>
  <c r="I129" i="1" s="1"/>
  <c r="G119" i="1"/>
  <c r="G92" i="1" s="1"/>
  <c r="G180" i="1"/>
  <c r="G121" i="1" s="1"/>
  <c r="G91" i="1" s="1"/>
  <c r="H91" i="1" s="1"/>
  <c r="I376" i="1"/>
  <c r="I182" i="1"/>
  <c r="I123" i="1" s="1"/>
  <c r="I382" i="1"/>
  <c r="G439" i="1"/>
  <c r="G440" i="1" s="1"/>
  <c r="G433" i="1"/>
  <c r="G434" i="1" s="1"/>
  <c r="G188" i="1"/>
  <c r="G189" i="1" s="1"/>
  <c r="G130" i="1" s="1"/>
  <c r="G182" i="1"/>
  <c r="G183" i="1" s="1"/>
  <c r="G124" i="1" s="1"/>
  <c r="G317" i="1"/>
  <c r="G318" i="1" s="1"/>
  <c r="G311" i="1"/>
  <c r="G312" i="1" s="1"/>
  <c r="I439" i="1"/>
  <c r="I440" i="1" s="1"/>
  <c r="I386" i="1" s="1"/>
  <c r="I433" i="1"/>
  <c r="I434" i="1" s="1"/>
  <c r="I380" i="1" s="1"/>
  <c r="I311" i="1"/>
  <c r="I317" i="1"/>
  <c r="I252" i="1"/>
  <c r="I225" i="1" s="1"/>
  <c r="I281" i="1"/>
  <c r="I309" i="1"/>
  <c r="I255" i="1" s="1"/>
  <c r="I254" i="1"/>
  <c r="I315" i="1"/>
  <c r="I261" i="1" s="1"/>
  <c r="I260" i="1"/>
  <c r="K145" i="1"/>
  <c r="K206" i="1"/>
  <c r="K147" i="1" s="1"/>
  <c r="K403" i="1"/>
  <c r="K374" i="1"/>
  <c r="K348" i="1" s="1"/>
  <c r="K180" i="1"/>
  <c r="E191" i="1" s="1"/>
  <c r="K119" i="1"/>
  <c r="K90" i="1" s="1"/>
  <c r="J82" i="1" s="1"/>
  <c r="K83" i="1" s="1"/>
  <c r="L83" i="1" s="1"/>
  <c r="K151" i="1"/>
  <c r="O338" i="1"/>
  <c r="P338" i="1" s="1"/>
  <c r="G261" i="1"/>
  <c r="G260" i="1"/>
  <c r="G383" i="1"/>
  <c r="G382" i="1"/>
  <c r="G255" i="1"/>
  <c r="G254" i="1"/>
  <c r="G377" i="1"/>
  <c r="G376" i="1"/>
  <c r="G281" i="1"/>
  <c r="G252" i="1"/>
  <c r="G225" i="1" s="1"/>
  <c r="H225" i="1" s="1"/>
  <c r="G403" i="1"/>
  <c r="G374" i="1"/>
  <c r="G348" i="1" s="1"/>
  <c r="H348" i="1" s="1"/>
  <c r="F347" i="1" l="1"/>
  <c r="E346" i="1"/>
  <c r="E348" i="1"/>
  <c r="F348" i="1" s="1"/>
  <c r="E93" i="1"/>
  <c r="N339" i="1"/>
  <c r="O339" i="1" s="1"/>
  <c r="P339" i="1" s="1"/>
  <c r="H347" i="1"/>
  <c r="E351" i="1"/>
  <c r="F350" i="1"/>
  <c r="N213" i="1"/>
  <c r="O213" i="1" s="1"/>
  <c r="P213" i="1" s="1"/>
  <c r="H224" i="1"/>
  <c r="G351" i="1"/>
  <c r="H350" i="1"/>
  <c r="G228" i="1"/>
  <c r="F92" i="1"/>
  <c r="J85" i="1"/>
  <c r="K85" i="1" s="1"/>
  <c r="L85" i="1" s="1"/>
  <c r="F90" i="1"/>
  <c r="G90" i="1"/>
  <c r="H92" i="1"/>
  <c r="K86" i="1"/>
  <c r="L86" i="1" s="1"/>
  <c r="E192" i="1"/>
  <c r="E133" i="1" s="1"/>
  <c r="E132" i="1"/>
  <c r="E440" i="1"/>
  <c r="E386" i="1" s="1"/>
  <c r="E385" i="1"/>
  <c r="E183" i="1"/>
  <c r="E124" i="1" s="1"/>
  <c r="E123" i="1"/>
  <c r="E434" i="1"/>
  <c r="E380" i="1" s="1"/>
  <c r="E379" i="1"/>
  <c r="E185" i="1"/>
  <c r="I185" i="1"/>
  <c r="I186" i="1" s="1"/>
  <c r="I127" i="1" s="1"/>
  <c r="I121" i="1"/>
  <c r="I91" i="1" s="1"/>
  <c r="I189" i="1"/>
  <c r="I130" i="1" s="1"/>
  <c r="G185" i="1"/>
  <c r="G186" i="1" s="1"/>
  <c r="G127" i="1" s="1"/>
  <c r="I183" i="1"/>
  <c r="I124" i="1" s="1"/>
  <c r="G152" i="1"/>
  <c r="I385" i="1"/>
  <c r="G123" i="1"/>
  <c r="G191" i="1"/>
  <c r="G192" i="1" s="1"/>
  <c r="G133" i="1" s="1"/>
  <c r="G129" i="1"/>
  <c r="I379" i="1"/>
  <c r="I318" i="1"/>
  <c r="I264" i="1" s="1"/>
  <c r="I263" i="1"/>
  <c r="I312" i="1"/>
  <c r="I258" i="1" s="1"/>
  <c r="I257" i="1"/>
  <c r="K130" i="1"/>
  <c r="K129" i="1"/>
  <c r="K121" i="1"/>
  <c r="K91" i="1" s="1"/>
  <c r="K152" i="1"/>
  <c r="I191" i="1"/>
  <c r="K124" i="1"/>
  <c r="K123" i="1"/>
  <c r="G264" i="1"/>
  <c r="G263" i="1"/>
  <c r="G258" i="1"/>
  <c r="G257" i="1"/>
  <c r="G380" i="1"/>
  <c r="G379" i="1"/>
  <c r="G386" i="1"/>
  <c r="G385" i="1"/>
  <c r="H90" i="1" l="1"/>
  <c r="G89" i="1"/>
  <c r="G93" i="1"/>
  <c r="J84" i="1"/>
  <c r="K84" i="1" s="1"/>
  <c r="L84" i="1" s="1"/>
  <c r="E126" i="1"/>
  <c r="E186" i="1"/>
  <c r="E127" i="1" s="1"/>
  <c r="I126" i="1"/>
  <c r="G126" i="1"/>
  <c r="G132" i="1"/>
  <c r="K132" i="1"/>
  <c r="K133" i="1"/>
  <c r="I192" i="1"/>
  <c r="I133" i="1" s="1"/>
  <c r="I132" i="1"/>
  <c r="K127" i="1"/>
  <c r="K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Víctor</author>
    <author>Victor</author>
    <author>vicky</author>
  </authors>
  <commentList>
    <comment ref="A76" authorId="0" shapeId="0" xr:uid="{FE8E50E3-2AA6-4135-8918-E0B37647C6E8}">
      <text>
        <r>
          <rPr>
            <sz val="10"/>
            <rFont val="Tahoma"/>
            <family val="2"/>
          </rPr>
          <t>Si no saben el número del cargo, lo pueden buscar en la hoja cargos, cuya pestaña aparece en parte inferior izquierda de la pantalla.</t>
        </r>
      </text>
    </comment>
    <comment ref="B79" authorId="0" shapeId="0" xr:uid="{511C3864-8B6F-4715-9E34-B62AE681339D}">
      <text>
        <r>
          <rPr>
            <b/>
            <sz val="8"/>
            <rFont val="Tahoma"/>
            <family val="2"/>
          </rPr>
          <t>Víctor:</t>
        </r>
        <r>
          <rPr>
            <sz val="8"/>
            <rFont val="Tahoma"/>
            <family val="2"/>
          </rPr>
          <t xml:space="preserve">
Completar con el porcentaje de zona que corresponda.</t>
        </r>
      </text>
    </comment>
    <comment ref="E79" authorId="0" shapeId="0" xr:uid="{A02171C8-FC0A-42B4-BF50-80F12ECDBEFE}">
      <text>
        <r>
          <rPr>
            <sz val="8"/>
            <rFont val="Tahoma"/>
            <family val="2"/>
          </rPr>
          <t>Si trabajaron en el mismo cargo en los últimos 10 años, dejar el 120. De lo contraro fraccionar con la cantidad de meses.</t>
        </r>
      </text>
    </comment>
    <comment ref="D85" authorId="0" shapeId="0" xr:uid="{1B57A145-99F1-4A34-81F3-5DFB537F8656}">
      <text>
        <r>
          <rPr>
            <b/>
            <sz val="8"/>
            <rFont val="Tahoma"/>
            <family val="2"/>
          </rPr>
          <t>Víctor:</t>
        </r>
        <r>
          <rPr>
            <sz val="8"/>
            <rFont val="Tahoma"/>
            <family val="2"/>
          </rPr>
          <t xml:space="preserve">
Para la mayoría de los casos corresponde 120 % de antigüedad, pero he encontrado otros valores en algunos recibos.</t>
        </r>
      </text>
    </comment>
    <comment ref="B216" authorId="1" shapeId="0" xr:uid="{2F8CA7F8-7EE2-478C-973D-D2409FBD2C9F}">
      <text>
        <r>
          <rPr>
            <b/>
            <sz val="9"/>
            <rFont val="Tahoma"/>
            <family val="2"/>
          </rPr>
          <t>Victor:</t>
        </r>
        <r>
          <rPr>
            <sz val="9"/>
            <rFont val="Tahoma"/>
            <family val="2"/>
          </rPr>
          <t xml:space="preserve">
Si te jubilaste sólo con horas, si no tenés que restarle el porcentaje de tiempo de los últimos 10 años que tuviste cargo.</t>
        </r>
      </text>
    </comment>
    <comment ref="D217" authorId="2" shapeId="0" xr:uid="{07A484C9-C929-48CB-B8D9-6D5BF6759BB1}">
      <text>
        <r>
          <rPr>
            <b/>
            <sz val="10"/>
            <rFont val="Tahoma"/>
            <family val="2"/>
          </rPr>
          <t>Victor:
Si sólo cobrás por horas poné 100%, si cobrás también por cargo poné 0%.</t>
        </r>
      </text>
    </comment>
    <comment ref="D343" authorId="1" shapeId="0" xr:uid="{6906BD8D-13F7-401A-B7BE-C6BE71EFEEA5}">
      <text>
        <r>
          <rPr>
            <b/>
            <sz val="9"/>
            <rFont val="Tahoma"/>
            <family val="2"/>
          </rPr>
          <t>Victor:</t>
        </r>
        <r>
          <rPr>
            <sz val="9"/>
            <rFont val="Tahoma"/>
            <family val="2"/>
          </rPr>
          <t xml:space="preserve">
</t>
        </r>
        <r>
          <rPr>
            <b/>
            <sz val="9"/>
            <rFont val="Tahoma"/>
            <family val="2"/>
          </rPr>
          <t>Si sólo cobrás por horas poné 100%, si cobrás también por cargo poné 0%.</t>
        </r>
      </text>
    </comment>
    <comment ref="C414" authorId="1" shapeId="0" xr:uid="{43B3878B-98B0-42BA-86C8-2E00BB8CEAAC}">
      <text>
        <r>
          <rPr>
            <b/>
            <sz val="9"/>
            <rFont val="Tahoma"/>
            <family val="2"/>
          </rPr>
          <t>Victor:</t>
        </r>
        <r>
          <rPr>
            <sz val="9"/>
            <rFont val="Tahoma"/>
            <family val="2"/>
          </rPr>
          <t xml:space="preserve">
Indicar si la cantidad de horas de este código es diferente a la cantidad de horas totales, si no corresponde porque se cobra en cargo, poner 0 en este lugar.</t>
        </r>
      </text>
    </comment>
  </commentList>
</comments>
</file>

<file path=xl/sharedStrings.xml><?xml version="1.0" encoding="utf-8"?>
<sst xmlns="http://schemas.openxmlformats.org/spreadsheetml/2006/main" count="766" uniqueCount="527">
  <si>
    <t>CARGO</t>
  </si>
  <si>
    <t>NOMBRE</t>
  </si>
  <si>
    <t>PUNTOS</t>
  </si>
  <si>
    <t>puntos comp bas 2016</t>
  </si>
  <si>
    <t>TOT 1 Y 2</t>
  </si>
  <si>
    <t>Adic Dir 2016</t>
  </si>
  <si>
    <t>adic dir 2022</t>
  </si>
  <si>
    <t>DIFER.</t>
  </si>
  <si>
    <t>JORN</t>
  </si>
  <si>
    <t>Nina</t>
  </si>
  <si>
    <t>Ext Horaria</t>
  </si>
  <si>
    <t>Tarea</t>
  </si>
  <si>
    <t>Prol</t>
  </si>
  <si>
    <t>Adic</t>
  </si>
  <si>
    <t>Director De Estudio De 3era. Cat. Transf.</t>
  </si>
  <si>
    <t>Vicerrector 2da. Categoría</t>
  </si>
  <si>
    <t>Rector De 3era. Categoría Jorn. Completa Transf.</t>
  </si>
  <si>
    <t>Rector De 1era. Categoría</t>
  </si>
  <si>
    <t>Rector De 1era. Categoría 3 Turnos</t>
  </si>
  <si>
    <t>Rector Inst. 2da. Categoría</t>
  </si>
  <si>
    <t>Rector Inst. 3era. Categoría</t>
  </si>
  <si>
    <t>Rector Inst. 3era. Cat. Agrotecnica</t>
  </si>
  <si>
    <t>Rector 1era. Categoría Jorn. Completa</t>
  </si>
  <si>
    <t xml:space="preserve">Vicerector 1era. Categoría </t>
  </si>
  <si>
    <t xml:space="preserve">Rector 1era. Categoría 2 Turnos </t>
  </si>
  <si>
    <t>Regente 1era. Categoría</t>
  </si>
  <si>
    <t>Prosecretaria Cat. Unica</t>
  </si>
  <si>
    <t xml:space="preserve">Vicerrector De 3era. Categoría </t>
  </si>
  <si>
    <t>Asesor Pedagogico (12 Horas)</t>
  </si>
  <si>
    <t>Maestro De Egb 3</t>
  </si>
  <si>
    <t>Asesor Pedagogico (24 Horas)</t>
  </si>
  <si>
    <t>Maestro Enseñanza Practicas (12 Hs)</t>
  </si>
  <si>
    <t>Asesor Pedagogica (18 Hs)</t>
  </si>
  <si>
    <t>Maestro Ens. Pract. Jefe Seccion</t>
  </si>
  <si>
    <t xml:space="preserve">Maestro Ens. Pract. </t>
  </si>
  <si>
    <t>Secretario 1era. Categoría</t>
  </si>
  <si>
    <t>Secretario Cat. Unica</t>
  </si>
  <si>
    <t>Secretario Inst. 2da. Categoría</t>
  </si>
  <si>
    <t>Secretario Inst. 3era. Categoría</t>
  </si>
  <si>
    <t>Preceptor</t>
  </si>
  <si>
    <t>Bibliotecario Secundario</t>
  </si>
  <si>
    <t>Ayudante De Trabajos Practicos Transf.</t>
  </si>
  <si>
    <t>Instructor Transferido</t>
  </si>
  <si>
    <t>Jefe Sectorial Ens. Pract. Jorn. Completa Transf.</t>
  </si>
  <si>
    <t>Instructor Resol. 3010</t>
  </si>
  <si>
    <t>Jefe Sectorial Ens. Pract. Con Jorn. Completa</t>
  </si>
  <si>
    <t>Coordinador General Act. Pract.</t>
  </si>
  <si>
    <t>Asesor Pedagogico (36 Hs)</t>
  </si>
  <si>
    <t>Jefe General De Ens. Pract. 1era. Categoría</t>
  </si>
  <si>
    <t>Bibliotecario Superior</t>
  </si>
  <si>
    <t>Ayudante De Clases Practicas Superior</t>
  </si>
  <si>
    <t>Jefe Bibliotecario Superior</t>
  </si>
  <si>
    <t>Rector Tc Superior Transferido</t>
  </si>
  <si>
    <t xml:space="preserve">Rector Tc Superior </t>
  </si>
  <si>
    <t xml:space="preserve">Regente </t>
  </si>
  <si>
    <t>Vicerrector Superior</t>
  </si>
  <si>
    <t>Vicerrector Jorn. Completa</t>
  </si>
  <si>
    <t>Secretario Superior</t>
  </si>
  <si>
    <t>347,6</t>
  </si>
  <si>
    <t>Prosecretario Superior</t>
  </si>
  <si>
    <t>Preceptor Nivel Superior</t>
  </si>
  <si>
    <t>Bedel Transf.</t>
  </si>
  <si>
    <t>Secretario Academico</t>
  </si>
  <si>
    <t>Instructor De Enfermeria Transf.</t>
  </si>
  <si>
    <t>Supervisor De Educación Física</t>
  </si>
  <si>
    <t>776</t>
  </si>
  <si>
    <t>Regente 1era. Cat. C.E.F.</t>
  </si>
  <si>
    <t>388</t>
  </si>
  <si>
    <t>Supervisor Educacion Secundaria</t>
  </si>
  <si>
    <t>Tecnico Docente Ens. Secundaria</t>
  </si>
  <si>
    <t>Secretario 1era. Cat. C.E.F.</t>
  </si>
  <si>
    <t>Tecnico Docente (Dccion. Educ. Tecn. Prof.)</t>
  </si>
  <si>
    <t>Rector 1era. Cat.</t>
  </si>
  <si>
    <t>647</t>
  </si>
  <si>
    <t>Rector 3era. Cat. Centro Formacion Profesional</t>
  </si>
  <si>
    <t>Rector 2da. Cat.</t>
  </si>
  <si>
    <t>582</t>
  </si>
  <si>
    <t xml:space="preserve">Regente 1era. Cat. Esc.Tecnica </t>
  </si>
  <si>
    <t>453</t>
  </si>
  <si>
    <t xml:space="preserve">Rector 3era. Cat. </t>
  </si>
  <si>
    <t>Vicerrector 1era. Cat.</t>
  </si>
  <si>
    <t>518</t>
  </si>
  <si>
    <t>Vicerrector 2da. Cat.</t>
  </si>
  <si>
    <t>Rector 2da. Cat. C.E.F.</t>
  </si>
  <si>
    <t>Vicerrector 2da. Cat. C.E.F.</t>
  </si>
  <si>
    <t>Secretario 2da. Cat. C.E.F.</t>
  </si>
  <si>
    <t>Jefe De Trabajos Practicos Laboratorio Agrario</t>
  </si>
  <si>
    <t xml:space="preserve">Regente 2da. Cat. Esc. Técnica </t>
  </si>
  <si>
    <t>Jefe Seccion Esc. Tecnicas</t>
  </si>
  <si>
    <t>Maestro Ens. Práct.</t>
  </si>
  <si>
    <t>Auxiliar Docente De Trabajos Practicos</t>
  </si>
  <si>
    <t>Secretario 1era. Cat.</t>
  </si>
  <si>
    <t>Secretario 2da. Cat.</t>
  </si>
  <si>
    <t>Secretario 3era. Cat.</t>
  </si>
  <si>
    <t>Maestro Tecnológico Y Especialidades</t>
  </si>
  <si>
    <t>Maestro Ayud.Ens.Práct. Tecnica</t>
  </si>
  <si>
    <t>Bibliotecario</t>
  </si>
  <si>
    <t>Maestro De Grado Tecnico</t>
  </si>
  <si>
    <t>Vicerrector 1era.Cat. C.E.F.</t>
  </si>
  <si>
    <t>Jefe De Laboratorio Tecnico</t>
  </si>
  <si>
    <t>Jefe De Enseñanza Práctica Tecnica</t>
  </si>
  <si>
    <t>Subjefe De Preceptores 1era. Cat.</t>
  </si>
  <si>
    <t>Rector Esc. Sec. Jov. Y Adultos</t>
  </si>
  <si>
    <t>Secretario Esc. Secundaria Jov. Y Adultos</t>
  </si>
  <si>
    <t>Supervisor Zonal Educ. Secundaria Jov. Y Adultos</t>
  </si>
  <si>
    <t>Vicerrector 3era. Cat. Esc. Tecnica</t>
  </si>
  <si>
    <t>Auxiliar Docente De Laboratorio</t>
  </si>
  <si>
    <t>Asesor Pedagógico P13 - Agrotecnico</t>
  </si>
  <si>
    <t xml:space="preserve">Ayudante De Clases Practicas </t>
  </si>
  <si>
    <t>Instructor Esc. Agrotecnica</t>
  </si>
  <si>
    <t>Rector De 1era. Cat. C.E.F.</t>
  </si>
  <si>
    <t>Maestro De Ciclo Basico</t>
  </si>
  <si>
    <t>Coordinador De Accion No Formal</t>
  </si>
  <si>
    <t>Auxiliar De Accion No Formal</t>
  </si>
  <si>
    <t>Instructor Agrotecnico</t>
  </si>
  <si>
    <t>Jefe Taller Esc.Técnica De 3era. Cat. C/Prol. De Jornada</t>
  </si>
  <si>
    <t>Jefe Taller Esc.Técnica De 1era. Cat.</t>
  </si>
  <si>
    <t>Jefe Taller Esc.Técnica De 2da Cat. C/Prol. De Jornada</t>
  </si>
  <si>
    <t>Maestro De Taller Técnico</t>
  </si>
  <si>
    <t>Prosecretario 2da. Y 3era. Cat.</t>
  </si>
  <si>
    <t>Jefe De Preceptores 1era.Cat.</t>
  </si>
  <si>
    <t>Rector De 1era. Cat. Esc. Tecnica Con Prol. De Jornada</t>
  </si>
  <si>
    <t>Rector De 2da. Cat. Esc. Tecnica Con Prol. De Jornada</t>
  </si>
  <si>
    <t>Rector De 3era. Cat. Esc. Tecnica Con Prol. De Jornada</t>
  </si>
  <si>
    <t>Vicerrector 1era. Cat. - Esc. Agrot. Con Prol. Jornada</t>
  </si>
  <si>
    <t>Vicerrector 2da. Cat. - Esc. Agrot. Con Prol. Jornada</t>
  </si>
  <si>
    <t>Jefe De Ens. Y Produccion 1era.Cat. C/Prol. De Jornada</t>
  </si>
  <si>
    <t>517</t>
  </si>
  <si>
    <t>Jefe De Ens. Y Produccion 2da. Cat. C/Prol. De Jornada</t>
  </si>
  <si>
    <t>Jefe De Ens. Y Produccion 3era. Cat. C/Prol. De Jornada</t>
  </si>
  <si>
    <t>Jefe Sección Esc. Agrop.Con Prol. De Jornada</t>
  </si>
  <si>
    <t>Jefe De Residencia Estudiantil 1era. Cat. C/Prol. De Jornada</t>
  </si>
  <si>
    <t>Preceptor De Residencia Estudiantil C/Prol. De Jornada</t>
  </si>
  <si>
    <t>Rector De 1era. Esc. Tecnica Con Prol. Jornada</t>
  </si>
  <si>
    <t>Rector De 2da. Esc. Tecnica Con Prol. Jornada</t>
  </si>
  <si>
    <t>Rector De 3era. Esc. Tecnica Con Prol. Jornada</t>
  </si>
  <si>
    <t>Jefe Sectorial De Jorn. Compl. Agraria</t>
  </si>
  <si>
    <t xml:space="preserve">Rector 3era. Cat. C.E.F. </t>
  </si>
  <si>
    <t>Vicerrector 3era. Cat. C.E.F.</t>
  </si>
  <si>
    <t>Secretario 3era. Cat. C.E.F.</t>
  </si>
  <si>
    <t>Regente De 3era. Cat. Esc. Tecnica</t>
  </si>
  <si>
    <t>Secretario De Unidad Educativa Nivel Inicial 1ra. Cat.</t>
  </si>
  <si>
    <t>Secretario De Unidad Educativa Nivel Inicial 1ra. Cat. Con Prol. De Jornada</t>
  </si>
  <si>
    <t>Secretario De Unidad Educativa Nivel Inicial 2da. Cat.</t>
  </si>
  <si>
    <t>Secretario De Unidad Educativa Nivel Inicial 2da. Cat. Con Prol. De Jornada</t>
  </si>
  <si>
    <t>Secretario De Unidad Educativa Nivel Inicial 3ra. Cat.</t>
  </si>
  <si>
    <t>Supervisor Escolar Artes Visuales</t>
  </si>
  <si>
    <t>Jefe Departamento Supervision Técnica</t>
  </si>
  <si>
    <t>Supervisor Escolar De Zona</t>
  </si>
  <si>
    <t>Supervisor De Educación Especial</t>
  </si>
  <si>
    <t>Supervisor Escolar De Educación Física</t>
  </si>
  <si>
    <t>Supervisor Escolar De Educación Tecnologica</t>
  </si>
  <si>
    <t>Supervisor Escolar De Educación Musical</t>
  </si>
  <si>
    <t>Técnico Docente Educacion Primaria</t>
  </si>
  <si>
    <t>Director Escuela 1era. Cat.</t>
  </si>
  <si>
    <t>Director Del S.A.I.E.</t>
  </si>
  <si>
    <t>Director De Educación Inicial 1era. Cat.</t>
  </si>
  <si>
    <t xml:space="preserve">Director Escuela 2da. Cat. </t>
  </si>
  <si>
    <t xml:space="preserve">Director Unidad Educativa 2da. Cat.Nivel Inicial </t>
  </si>
  <si>
    <t xml:space="preserve">Director De Escuela De Educación Integral </t>
  </si>
  <si>
    <t>Director Escuela 3era. Cat</t>
  </si>
  <si>
    <t>Vicedirector Escuela 1era. Cat.</t>
  </si>
  <si>
    <t>Maestro Auxiliar Jornada Completa</t>
  </si>
  <si>
    <t>Director Escuela 4ta. Cat.</t>
  </si>
  <si>
    <t>Técnico Auxiliar (Eoe-Saie-Esc. Y Centros Educ. Integral)</t>
  </si>
  <si>
    <t>Vicedirector Escuela 2da. Cat.</t>
  </si>
  <si>
    <t>Director Radio Educativo 1era. Cat. Nivel Inicial</t>
  </si>
  <si>
    <t>Director Escuela Primaria Jóvenes Y Adultos 1era. Cat.</t>
  </si>
  <si>
    <t>Director Escuela Coral</t>
  </si>
  <si>
    <t xml:space="preserve">Director Escuela Primaria Jóvenes Y Adultos 2da. Cat. </t>
  </si>
  <si>
    <t xml:space="preserve">Maestro De Sección </t>
  </si>
  <si>
    <t>Director Parque Escolar "E. Berduc"</t>
  </si>
  <si>
    <t>Maestro Educacion Inicial</t>
  </si>
  <si>
    <t xml:space="preserve">Maestro Orientador Integrador </t>
  </si>
  <si>
    <t>Secretario Escuela 2da. Cat.</t>
  </si>
  <si>
    <t xml:space="preserve">Maestro Educ. Artística En Esc. Y Centros De Educ. Integral </t>
  </si>
  <si>
    <t>Secretario Escuela 1era. Cat.</t>
  </si>
  <si>
    <t>Maestro Asistente Escuela Coral</t>
  </si>
  <si>
    <t>Maestro Auxiliar Nivel Primario</t>
  </si>
  <si>
    <t>Maestro Educación Física</t>
  </si>
  <si>
    <t xml:space="preserve">Secretario Escuela Primaria Jóvenes Y Adultos </t>
  </si>
  <si>
    <t>Maestro De Ciclo</t>
  </si>
  <si>
    <t>Secretario 1era. Cat. Nivel Inicial</t>
  </si>
  <si>
    <t>Técnico Docente De Educación Especial</t>
  </si>
  <si>
    <t>Tecnico Docente Biblioteca Escolares</t>
  </si>
  <si>
    <t xml:space="preserve">Maestro Escuela Primaria Jóvenes Y Adultos </t>
  </si>
  <si>
    <t>Maestro De Educ. Tecnologica</t>
  </si>
  <si>
    <t>Secretario Parque Escolar</t>
  </si>
  <si>
    <t>Maestro Educacion Agropecuaria</t>
  </si>
  <si>
    <t xml:space="preserve">Archivista - Uader </t>
  </si>
  <si>
    <t>Bibliotecario Pedagógico</t>
  </si>
  <si>
    <t>Coordinador De Educación Temprana</t>
  </si>
  <si>
    <t>Maestro Educación Musical</t>
  </si>
  <si>
    <t xml:space="preserve">Maestro De Artes Visuales </t>
  </si>
  <si>
    <t>Maestro Artes Visuales J. Compl.</t>
  </si>
  <si>
    <t>Vicedirector Escuela Educación Integral</t>
  </si>
  <si>
    <t>Maestro Educ. Física De Esc. Y Centros De Educ. Integral</t>
  </si>
  <si>
    <t>Técnico Docente Educ. Jóvenes Y Adultos</t>
  </si>
  <si>
    <t>Supervisor Zonal Educación Primaria Jóvenes Y Adultos</t>
  </si>
  <si>
    <t>Jefe Dpto. Tecnico Educacion De Jovenes Y Adultos</t>
  </si>
  <si>
    <t>Maestro De Orientación Vocacional Y Ocupacional De Esc. Y Centros De Educ. Integral Y/O Terapéutico</t>
  </si>
  <si>
    <t>Maestro De Formación Laboral Y Ocupacional De Esc. Y Centros De Educ. Integral Y/O Terapéutico</t>
  </si>
  <si>
    <t xml:space="preserve">Secretario Escuela De Educación Integral </t>
  </si>
  <si>
    <t>Maestro De Taller</t>
  </si>
  <si>
    <t>Tecnico Docente Direccion De Planeamiento</t>
  </si>
  <si>
    <t>Director Unidad Educativa 3era. Cat. Nivel Inicial</t>
  </si>
  <si>
    <t>Capacitador Laboral</t>
  </si>
  <si>
    <t xml:space="preserve">Jefe Dpto. Técnico Pedagógico </t>
  </si>
  <si>
    <t>Coordinador Dptal. De Educ. Jóvenes Y Adultos</t>
  </si>
  <si>
    <t>Maestro Esp. Dpto. Aplicación Lengua</t>
  </si>
  <si>
    <t>Vicedirector De Educación Inicial 1era. Cat.</t>
  </si>
  <si>
    <t>Maestro Especial Jardin De Infantes</t>
  </si>
  <si>
    <t>Maestro Auxiliar De Educ. Inicial</t>
  </si>
  <si>
    <t>Supervisor Nivel Inicial</t>
  </si>
  <si>
    <t>Supervisor Técnico</t>
  </si>
  <si>
    <t>Director Dpto. Aplicación</t>
  </si>
  <si>
    <t xml:space="preserve">Vicedirector Dpto. Aplicación </t>
  </si>
  <si>
    <t>Secretario Dpto. Aplicación</t>
  </si>
  <si>
    <t>Maestro Dpto. Aplicación</t>
  </si>
  <si>
    <t>Jefe De Industrias A. Tec - Uader</t>
  </si>
  <si>
    <t>Director Unidad Educativa 1era. Cat. Nivel Inicial Con P/J.</t>
  </si>
  <si>
    <t>Vice-Director Nivel Inicial 1era. Cat. Con P/J</t>
  </si>
  <si>
    <t>Maestro Nivel Inicial Con P/J.</t>
  </si>
  <si>
    <t>Maestro Escuela Primaria En Contexto De Privacion De La Libertad</t>
  </si>
  <si>
    <t>Visitador En Contexto De Privacion De La Libertad</t>
  </si>
  <si>
    <t>Maestro Educacion Artistica En Contexto De Privacion De La Libertad</t>
  </si>
  <si>
    <t>Director Escuela En Contexto De Privacion De La Libertad</t>
  </si>
  <si>
    <t>Director Escuela 1era. Cat. Jornada Completa</t>
  </si>
  <si>
    <t>Director Escuela 2da. Cat. Jornada Completa</t>
  </si>
  <si>
    <t>Director Escuela 3era. Cat. Jornada Completa</t>
  </si>
  <si>
    <t>Director Escuela 4ta. Cat. Jornada Completa</t>
  </si>
  <si>
    <t>Vicedirector Escuela 2da. Cat. Jornada Completa</t>
  </si>
  <si>
    <t>Maestro De Ciclo Jornada Completa</t>
  </si>
  <si>
    <t>Maestro Educ. Tecnologica Jornada Completa</t>
  </si>
  <si>
    <t>Vicedirector De Educación Inicial 2da. Cat.</t>
  </si>
  <si>
    <t xml:space="preserve">Maestro De Taller Anexo Albergue </t>
  </si>
  <si>
    <t>Maestro De Ciclo Anexo Albergue</t>
  </si>
  <si>
    <t>Maestro Educ. Tecnologica Anexo Albergue</t>
  </si>
  <si>
    <t>Director Escuela 3era. Cat. Anexo Albergue</t>
  </si>
  <si>
    <t>Director Escuela 4ta. Cat. Anexo Albergue</t>
  </si>
  <si>
    <t>Celador Docente Jornada Simple</t>
  </si>
  <si>
    <t>Vicedirector Escuela 1º Cat. Jornada Compl.</t>
  </si>
  <si>
    <t>Secretario Escuela 1era. Cat. Jornada Compl.</t>
  </si>
  <si>
    <t>Secretario Escuela 2da. Cat. Jornada Compl.</t>
  </si>
  <si>
    <t>Secretario Escuela 3era. Cat. Jornada Compl.</t>
  </si>
  <si>
    <t>Rector Esc. Sec. Jov. Y Adultos En Contexto De Priv. De La Libertad</t>
  </si>
  <si>
    <t>Técnico Docente Nivel Inicial</t>
  </si>
  <si>
    <t>Maestro 1er. Año Escuela Secundaria Jóvenes Y Adultos En Contexto De Privacion De La Libertad</t>
  </si>
  <si>
    <t>Maestro Educacion Artistica Jóvenes Y Adultos</t>
  </si>
  <si>
    <t>Educador Jóvenes Y Adultos (Capacitador Laboral)</t>
  </si>
  <si>
    <t>Maestro Educación Musical Jornada Completa</t>
  </si>
  <si>
    <t>Maestro Educacion Física Jornada Completa</t>
  </si>
  <si>
    <t>Bibliotecario Jornada Completa</t>
  </si>
  <si>
    <t>Maestro Educacion Musical Anexo Albergue</t>
  </si>
  <si>
    <t>Maestro Educacion Física Anexo Albergue</t>
  </si>
  <si>
    <t>Celador Esc. Anexo Albergue</t>
  </si>
  <si>
    <t>Maestro De Taller Jornada Compl.</t>
  </si>
  <si>
    <t>Maestro Educacion Agropecuaria J.C.</t>
  </si>
  <si>
    <t>Secretario 3era. Cat. Escuela Secundaria Jovenes Y Adultos En Contexto De Privacion De La Libertad</t>
  </si>
  <si>
    <t>Director Escuela Personal Único</t>
  </si>
  <si>
    <t>Secretario Escuela 3era. Cat.</t>
  </si>
  <si>
    <t xml:space="preserve">Coordinador De Centro Comunitario </t>
  </si>
  <si>
    <t xml:space="preserve">Maestro 1er. Año Escuela Secundaria Jóvenes Y Adultos </t>
  </si>
  <si>
    <t>Maestro Educación Agropecuaria Anexo Albergue</t>
  </si>
  <si>
    <t>Maestro De Ctro. Educ. Educacion Primaria De Jov. Y Adultos</t>
  </si>
  <si>
    <t>Jefe Dpto. Pedag. Y Superv. (Ens.Privada)</t>
  </si>
  <si>
    <t>Supervisor Ens. Especial (Enseñanza Privada)</t>
  </si>
  <si>
    <t>Supervisor Ens.Primaria (Enseñanza Privada)</t>
  </si>
  <si>
    <t>Supervisor Ens. Inicial (Enseñanza Privada)</t>
  </si>
  <si>
    <t>Tutor/A Educativo Dep. De Jovenes Y Adultos</t>
  </si>
  <si>
    <t>Tecnico Docente Enseñanza Privada</t>
  </si>
  <si>
    <t>Supervisor Enseñanza Secundaria (Ens. Privada)</t>
  </si>
  <si>
    <t>Prof.Titular Dedic. Exclusiva - Uader</t>
  </si>
  <si>
    <t>Prof. Asoc. Dedic. Exclusiva - Uader</t>
  </si>
  <si>
    <t>Prof. Adj. Dedic. Exclusiva - Uader</t>
  </si>
  <si>
    <t>Jefe Trabajos Pract. Dedic. Exclusiva - Uader</t>
  </si>
  <si>
    <t>Auxiliar Docente 1era. Cat. Dedic. Exclusiva - Uader</t>
  </si>
  <si>
    <t>Auxiliar Docente 1era. Cat. Dedic. Parcial - Uader</t>
  </si>
  <si>
    <t>Jefe Trabajos Pract. Dedic. Parcial - Uader</t>
  </si>
  <si>
    <t>Prof.Titular Dedic. Parcial - Uader</t>
  </si>
  <si>
    <t>Prof. Asoc. Dedic. Parcial - Uader</t>
  </si>
  <si>
    <t>Prof. Adj. Dedic. Parcial - Uader</t>
  </si>
  <si>
    <t>Prof. Titular Dedic. Simple - Uader</t>
  </si>
  <si>
    <t>Prof. Asoc. Dedic. Simple - Uader</t>
  </si>
  <si>
    <t>Prof. Adj. Dedic Simple - Uader</t>
  </si>
  <si>
    <t>Jefe Trabajos Pract.Dedic. Simple - Uader</t>
  </si>
  <si>
    <t>Auxiliar Docente 1era. Cat. Dedic. Simple - Uader</t>
  </si>
  <si>
    <t>Analista Técnico</t>
  </si>
  <si>
    <t xml:space="preserve">Supervisor Instituto Superior </t>
  </si>
  <si>
    <t>Técnico Docente Educación Superior</t>
  </si>
  <si>
    <t>Rector Instituto Superior</t>
  </si>
  <si>
    <t xml:space="preserve">Vicerrector Instituto Superior </t>
  </si>
  <si>
    <t>Secretario Académico</t>
  </si>
  <si>
    <t>Regente Instituto Superior</t>
  </si>
  <si>
    <t>Secretario Instituto Superior</t>
  </si>
  <si>
    <t>Prosecretario Instituto Superior</t>
  </si>
  <si>
    <t>Bedel</t>
  </si>
  <si>
    <t>Ayudante Trabajos Prácticos</t>
  </si>
  <si>
    <t>Preceptor Instituto Superior</t>
  </si>
  <si>
    <t>Instructor Instituto Superior</t>
  </si>
  <si>
    <t>Bibliotecario Instituto Superior</t>
  </si>
  <si>
    <t>Maestro De Educ. Fisica Especial</t>
  </si>
  <si>
    <t>Maestro De Educ. Artistica Especial</t>
  </si>
  <si>
    <t>Maestro De Educ. Musical Especial</t>
  </si>
  <si>
    <t>Director De Escuela 1era. Cat.</t>
  </si>
  <si>
    <t>Director De Escuela 2da. Cat.</t>
  </si>
  <si>
    <t>Director De Escuela 3era. Cat.</t>
  </si>
  <si>
    <t>Director De Escuela 4ta. Cat.</t>
  </si>
  <si>
    <t>Director Escuela Educación Especial</t>
  </si>
  <si>
    <t>Director De Escuela Adultos 2da. Cat.</t>
  </si>
  <si>
    <t>Director De Escuela Nivel Inicial 2da. Cat.</t>
  </si>
  <si>
    <t>Vicedirector Esc. 1era. Cat.</t>
  </si>
  <si>
    <t>Vicedirector Esc. 2da. Cat.</t>
  </si>
  <si>
    <t>Vicedirector Esc. Especial</t>
  </si>
  <si>
    <t>Secretaria De Escuela De 2da. Cat.</t>
  </si>
  <si>
    <t>Maestro De Grado Diferenciado</t>
  </si>
  <si>
    <t>Maestro De Nivel Inicial</t>
  </si>
  <si>
    <t>Maestro De Grupo Esc. Especial</t>
  </si>
  <si>
    <t>Maestro De Grado Adultos</t>
  </si>
  <si>
    <t>Maestro De Educación Física</t>
  </si>
  <si>
    <t>Maestro De Materias Especiales</t>
  </si>
  <si>
    <t>Maestro De Materias Especiales Esc. Especial</t>
  </si>
  <si>
    <t>Psicólogo</t>
  </si>
  <si>
    <t>Musico Terapeuta</t>
  </si>
  <si>
    <t>Asistente Social</t>
  </si>
  <si>
    <t>Preceptor Escuela Especial</t>
  </si>
  <si>
    <t>Director Esc. Capacit. Técnica 4ta. Cat.</t>
  </si>
  <si>
    <t>Maestro Cultura General Cap. Tecnica</t>
  </si>
  <si>
    <t>Rector Nivel Superior - Uader</t>
  </si>
  <si>
    <t>Secretario Nivel Superior - Uader</t>
  </si>
  <si>
    <t>Bibliotecario Nivel Superior - Uader</t>
  </si>
  <si>
    <t>Preceptor Nivel Superior - Uader</t>
  </si>
  <si>
    <t>Bedel - Uader</t>
  </si>
  <si>
    <t>Ayudante Trabajos Prácticos - Uader</t>
  </si>
  <si>
    <t>Maestro De Orientacion Vocacional Y Ocupacional Esc. Especiales</t>
  </si>
  <si>
    <t>Maestro De Formación Laboral Y Ocupacional Esc. Especiales</t>
  </si>
  <si>
    <t>Director Esc. Capacit. Técn. 3era. Cat.</t>
  </si>
  <si>
    <t>Director Esc. Capacit. Técn. 1era. Cat.</t>
  </si>
  <si>
    <t>Director Esc. Capacit. Técn. 2da. Cat.</t>
  </si>
  <si>
    <t>Fonoaudiólogo</t>
  </si>
  <si>
    <t>Secretario Esc. De 1era. Cat.</t>
  </si>
  <si>
    <t xml:space="preserve">Director Esc. De Jorn. Completa De 2da. Cat. </t>
  </si>
  <si>
    <t>Maestro De Ciclo Esc. De Jornada Completa</t>
  </si>
  <si>
    <t>Maestro Educación Física Esc. De Jorn. Completa</t>
  </si>
  <si>
    <t>Secretario Esc. 2da. Cat. Jorn. Completa</t>
  </si>
  <si>
    <t xml:space="preserve">Terapista Ocupacional </t>
  </si>
  <si>
    <t>Psicomotricista</t>
  </si>
  <si>
    <t>Psicopedagogo</t>
  </si>
  <si>
    <t>Maestro Act. Practicas Jorn. Completas</t>
  </si>
  <si>
    <t>Maestro De Educ. Musical Jorn. Completa</t>
  </si>
  <si>
    <t>Vicedirector Esc. De Jorn. Completa</t>
  </si>
  <si>
    <t>Moi</t>
  </si>
  <si>
    <t>Director Esc. Jorn. Completa De 3era. Cat.</t>
  </si>
  <si>
    <t>Vicedirector De Esc.Cap. Técn. 1era. Cat.</t>
  </si>
  <si>
    <t>Director Esc. Nivel Inicial 1era. Cat.</t>
  </si>
  <si>
    <t>Vicedirector Esc. Nivel Inicial 2da. Cat.</t>
  </si>
  <si>
    <t>Secretario Doc. Esc. Enf. Uader</t>
  </si>
  <si>
    <t>Secretario Adm. Esc. Enf. Uader</t>
  </si>
  <si>
    <t>Instructor Nivel Superior - Uader</t>
  </si>
  <si>
    <t>Vicedirector Esc. Nivel Inicial 3era. Cat.</t>
  </si>
  <si>
    <t>Vicedirector Esc. Nivel Inicial 1era.Cat</t>
  </si>
  <si>
    <t>Secretario Academico - Uader</t>
  </si>
  <si>
    <t>Jefe Laboratorio Computación - Uader</t>
  </si>
  <si>
    <t>Coordinador De Centro Privado Integral</t>
  </si>
  <si>
    <t>Preceptor Guia Internado Instituto Sup. - Uader</t>
  </si>
  <si>
    <t>Secretario Escuela Especial</t>
  </si>
  <si>
    <t>Director Esc. De Nivel Inicial 3era. Cat.</t>
  </si>
  <si>
    <t>Director Esc. De Nivel Inicial 4ta. Cat.</t>
  </si>
  <si>
    <t>Kinesiólogo</t>
  </si>
  <si>
    <t>Maestro De Educacion Practica</t>
  </si>
  <si>
    <t>Secretario Esc. Nivel Inicial 1era. Cat.</t>
  </si>
  <si>
    <t>Secretario Esc. Nivel Inicial 2da. Cat.</t>
  </si>
  <si>
    <t>Secretario Esc. Nivel Inicial 3era. Cat.</t>
  </si>
  <si>
    <t>Maestro Auxiliar De Nivel Inicial</t>
  </si>
  <si>
    <t>Maestro Dpto. Aplicación Lengua - Uader</t>
  </si>
  <si>
    <t>Maestro Espec. Dpto. Aplicación Lenguas Vivas - Uader</t>
  </si>
  <si>
    <t>Analista Técnico - Uader</t>
  </si>
  <si>
    <t>Maestro Especial Jardín De Infantes - Uader</t>
  </si>
  <si>
    <t>Maestro Jardín De Infantes - Uader</t>
  </si>
  <si>
    <t>Vicerrector Nivel Superior - Uader</t>
  </si>
  <si>
    <t>Regente Nivel Superior - Uader</t>
  </si>
  <si>
    <t>Vicedirector Esc. De 3era. Cat.</t>
  </si>
  <si>
    <t>Secretario Esc. Jorn. Completa 1era. Cat.</t>
  </si>
  <si>
    <t>Sec. Esc. De Jorn. Completa 3era. Cat.</t>
  </si>
  <si>
    <t>Prosecretario Nivel Superior - Uader</t>
  </si>
  <si>
    <t>Secretario Esc. De 3era. Cat.</t>
  </si>
  <si>
    <t xml:space="preserve">Simulador  salarial </t>
  </si>
  <si>
    <t xml:space="preserve">Canasta de Indigencia: </t>
  </si>
  <si>
    <t>Por favor avisar si encuentran errores</t>
  </si>
  <si>
    <t>Canasta de la pobreza:</t>
  </si>
  <si>
    <t>Los porcentajes de aumento indicados en cada mes son acumulados anuales</t>
  </si>
  <si>
    <t>Solo completar los datos en rojo</t>
  </si>
  <si>
    <t xml:space="preserve">Sueldo inicial: </t>
  </si>
  <si>
    <t>de la canasta básica total"</t>
  </si>
  <si>
    <t>Inicial sin montos en negro:</t>
  </si>
  <si>
    <t>IPC Acum Anual</t>
  </si>
  <si>
    <r>
      <t xml:space="preserve">Se deben completar los datos en </t>
    </r>
    <r>
      <rPr>
        <b/>
        <sz val="11"/>
        <color indexed="10"/>
        <rFont val="Arial"/>
        <family val="2"/>
      </rPr>
      <t xml:space="preserve">rojo, </t>
    </r>
    <r>
      <rPr>
        <sz val="11"/>
        <rFont val="Arial"/>
        <family val="2"/>
      </rPr>
      <t>lo demás se calcula todo solo.</t>
    </r>
  </si>
  <si>
    <t xml:space="preserve">Leer los comentarios en las celdas que tengan una puntita roja en el ángulo superior derecho, </t>
  </si>
  <si>
    <t>el comentario aparece al posicionar el cursor sobre la celda.</t>
  </si>
  <si>
    <t xml:space="preserve">Deben seleccionar el número de cargo o  el número de horas que aparecen en rojo, </t>
  </si>
  <si>
    <t>todo lo demás aparece automáticamente</t>
  </si>
  <si>
    <t>Si no conocen el número de cargo, lo pueden buscar en la hoja "cargos", seleccionando la pestaña</t>
  </si>
  <si>
    <t xml:space="preserve">que aparece en la parte inferior de la pantalla y buscar su </t>
  </si>
  <si>
    <t>número para luego ingresarlo en el lugar especificado.</t>
  </si>
  <si>
    <t>Si trabajaron en los últimos 10 años en diferentes cargos, se deberá calcular en forma fraccionada,</t>
  </si>
  <si>
    <t>Si desean imprimir una situación, realicen el siguiente procedimiento: seleccionar con el mouse el área donde</t>
  </si>
  <si>
    <t xml:space="preserve">aparece el recibo que se desea imprimir, y con eso seleccionado, ir a archivo, imprimir y elegir la opción </t>
  </si>
  <si>
    <t>selección, de lo contrario les va a imprimir toda la planilla, incluyendo comentarios, etc.</t>
  </si>
  <si>
    <r>
      <t>Si encuentran errores, por favor avisenme.</t>
    </r>
    <r>
      <rPr>
        <sz val="11"/>
        <color indexed="17"/>
        <rFont val="Arial"/>
        <family val="2"/>
      </rPr>
      <t xml:space="preserve"> huttvictor@gmail.com</t>
    </r>
  </si>
  <si>
    <t>indicedic25</t>
  </si>
  <si>
    <t>Indiceproljordic25</t>
  </si>
  <si>
    <t>cod06ene25</t>
  </si>
  <si>
    <t>Final</t>
  </si>
  <si>
    <t>hasta 971</t>
  </si>
  <si>
    <t>972&lt;pi&lt;= 1169</t>
  </si>
  <si>
    <t>1170&lt;pi&lt;1400</t>
  </si>
  <si>
    <t>1401&lt;pi&lt;1942</t>
  </si>
  <si>
    <t>1943&lt;pi&lt;=2220</t>
  </si>
  <si>
    <t>pi&gt;2220</t>
  </si>
  <si>
    <t>pijc&gt;=620    971</t>
  </si>
  <si>
    <t>JC &gt; 971</t>
  </si>
  <si>
    <t>JC defint</t>
  </si>
  <si>
    <t>Jubilado - CARGOS</t>
  </si>
  <si>
    <t>PUNTOS basicos</t>
  </si>
  <si>
    <t xml:space="preserve"> tarea DIFER.</t>
  </si>
  <si>
    <t>Prol JORN</t>
  </si>
  <si>
    <t>jorn Compl</t>
  </si>
  <si>
    <t>comp básico 2016</t>
  </si>
  <si>
    <t>Comp Direct 2016</t>
  </si>
  <si>
    <t>Adic Esc Nina</t>
  </si>
  <si>
    <t>Comp direct 2022</t>
  </si>
  <si>
    <t>Zona</t>
  </si>
  <si>
    <t>Fracción</t>
  </si>
  <si>
    <t>1: Si; 0: No</t>
  </si>
  <si>
    <t>Porcentaje de jubilación</t>
  </si>
  <si>
    <t>Directivo Nina??</t>
  </si>
  <si>
    <t>Porcentaje de Antigüedad</t>
  </si>
  <si>
    <t>(No poner el símbolo %)</t>
  </si>
  <si>
    <t>CARGOS</t>
  </si>
  <si>
    <t>Puntos básicos</t>
  </si>
  <si>
    <t>Se calcula solo</t>
  </si>
  <si>
    <t>Puntos  prol jornada</t>
  </si>
  <si>
    <t>Sin el efecto de aporte jubilatorio, buscarlos en los recibos más abajo.</t>
  </si>
  <si>
    <t>Liquido Menores</t>
  </si>
  <si>
    <t>25,000 Bonificables y Remunerativos</t>
  </si>
  <si>
    <t>Aporte Jubilatorio 3%</t>
  </si>
  <si>
    <t>Líquido menores 57-62</t>
  </si>
  <si>
    <t>Aumento mensual Menores</t>
  </si>
  <si>
    <t>Aum porcentual Menores</t>
  </si>
  <si>
    <t>Aum Acum Anual Menores</t>
  </si>
  <si>
    <t>Porcentual Anual Menores</t>
  </si>
  <si>
    <t xml:space="preserve">Líquido </t>
  </si>
  <si>
    <t>Sueldo básico</t>
  </si>
  <si>
    <t>Dec 1266/08 Art 4º</t>
  </si>
  <si>
    <t>424/428</t>
  </si>
  <si>
    <t>Adic directivos</t>
  </si>
  <si>
    <t>Adicional Nina</t>
  </si>
  <si>
    <t>Función diferencial</t>
  </si>
  <si>
    <t>Antigüedad</t>
  </si>
  <si>
    <t>Bon zona esc</t>
  </si>
  <si>
    <t>prolong. Jorn - Docente</t>
  </si>
  <si>
    <t>Dto. 1109/05 (cod 06 act)</t>
  </si>
  <si>
    <t>Traslado cod 188</t>
  </si>
  <si>
    <t>DTO. N1462/18 DOCENT</t>
  </si>
  <si>
    <t>Otros</t>
  </si>
  <si>
    <t>Haberes</t>
  </si>
  <si>
    <t>Federación de  jubil</t>
  </si>
  <si>
    <t>Aporte IOSPER</t>
  </si>
  <si>
    <t>Seguro ley 3011</t>
  </si>
  <si>
    <t>Serv Sepelio IAPS</t>
  </si>
  <si>
    <t>Desc AGMER 1 %</t>
  </si>
  <si>
    <t>Otros descuentos</t>
  </si>
  <si>
    <t>Descuentos</t>
  </si>
  <si>
    <t>Líquido</t>
  </si>
  <si>
    <t>Aumento mensual</t>
  </si>
  <si>
    <t>Aum porcentual</t>
  </si>
  <si>
    <t>Aumento acumulado anual</t>
  </si>
  <si>
    <t>Acumulado porcentual</t>
  </si>
  <si>
    <t>MEDIO AGUINALDO</t>
  </si>
  <si>
    <t>Código 550</t>
  </si>
  <si>
    <t>Total Descuentos</t>
  </si>
  <si>
    <t>Jubilado - HORAS DE NIVEL MEDIO</t>
  </si>
  <si>
    <t>Jubilado/a</t>
  </si>
  <si>
    <t>Número de horas</t>
  </si>
  <si>
    <t>Jubilado solo horas? Lee comentario</t>
  </si>
  <si>
    <t>100%: Si ; 0%: No</t>
  </si>
  <si>
    <t>Líquido Menores</t>
  </si>
  <si>
    <t>Dto. 1109/05(cod06act)</t>
  </si>
  <si>
    <t>Adic hs media (Cod 18 en activos)</t>
  </si>
  <si>
    <t>Adic Dec 173/21 (cod 38 activos)</t>
  </si>
  <si>
    <t>Federació de  jubil</t>
  </si>
  <si>
    <t>Jubilado - HORAS DE NIVEL Superior</t>
  </si>
  <si>
    <t>Porc Aum acumulado anual</t>
  </si>
  <si>
    <t>Autor</t>
  </si>
  <si>
    <t>Víctor Hugo Hutt</t>
  </si>
  <si>
    <t>AGMER Seccional Uruguay</t>
  </si>
  <si>
    <t>huttvictor@gmail.com</t>
  </si>
  <si>
    <t>www.agmeruruguay.com.ar</t>
  </si>
  <si>
    <t>cod06dic25</t>
  </si>
  <si>
    <t>indicemay26</t>
  </si>
  <si>
    <t>Indiceproljormay26</t>
  </si>
  <si>
    <t>MONTO EN NEGRO</t>
  </si>
  <si>
    <t>Aumento ilegal en negro</t>
  </si>
  <si>
    <r>
      <t xml:space="preserve">Salario docente jubilado Entre Ríos </t>
    </r>
    <r>
      <rPr>
        <b/>
        <u/>
        <sz val="18"/>
        <color indexed="18"/>
        <rFont val="Arial"/>
        <family val="2"/>
      </rPr>
      <t xml:space="preserve"> (2026)</t>
    </r>
  </si>
  <si>
    <t>indicejul26</t>
  </si>
  <si>
    <t>Indiceproljorjul26</t>
  </si>
  <si>
    <t>indicesep26</t>
  </si>
  <si>
    <t>Indiceproljorsep26</t>
  </si>
  <si>
    <t>aumentomayo26</t>
  </si>
  <si>
    <t>aumentojulio26</t>
  </si>
  <si>
    <t>aumentoseptiembre26</t>
  </si>
  <si>
    <t>Es de Junio 26</t>
  </si>
  <si>
    <r>
      <t xml:space="preserve">Diciembre 25 hasta junio 26 </t>
    </r>
    <r>
      <rPr>
        <sz val="11"/>
        <color theme="1"/>
        <rFont val="Arial"/>
        <family val="2"/>
      </rPr>
      <t>(porque no hubo recupero en enero)</t>
    </r>
  </si>
  <si>
    <t>Sueldo Julio respecto a CBT Junio</t>
  </si>
  <si>
    <t>% CBT Junio</t>
  </si>
  <si>
    <t>% CBT Mayo</t>
  </si>
  <si>
    <t>Movilidad con reforma</t>
  </si>
  <si>
    <r>
      <t xml:space="preserve">Desde Dic 25 a </t>
    </r>
    <r>
      <rPr>
        <b/>
        <sz val="22"/>
        <rFont val="Arial"/>
        <family val="2"/>
      </rPr>
      <t>Julio</t>
    </r>
    <r>
      <rPr>
        <b/>
        <sz val="18"/>
        <rFont val="Arial"/>
        <family val="2"/>
      </rPr>
      <t xml:space="preserve"> 2026</t>
    </r>
  </si>
  <si>
    <t>NEP</t>
  </si>
  <si>
    <t>Adicional NEP</t>
  </si>
  <si>
    <t>NEP?</t>
  </si>
  <si>
    <t>De acuerdo a Decreto 1990/26</t>
  </si>
  <si>
    <t>Se agregó Código NEP</t>
  </si>
  <si>
    <t>Reforma</t>
  </si>
  <si>
    <t>% CBT Abril</t>
  </si>
  <si>
    <t>Descu.</t>
  </si>
  <si>
    <t>La reforma te quita: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</si>
</sst>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_ &quot;$&quot;\ * #,##0.00_ ;_ &quot;$&quot;\ * \-#,##0.00_ ;_ &quot;$&quot;\ * &quot;-&quot;??_ ;_ @_ "/>
    <numFmt numFmtId="166" formatCode="_-&quot;$&quot;\ * #,##0_-;\-&quot;$&quot;\ * #,##0_-;_-&quot;$&quot;\ * &quot;-&quot;??_-;_-@_-"/>
    <numFmt numFmtId="167" formatCode="0.0%"/>
    <numFmt numFmtId="168" formatCode="0.0000"/>
    <numFmt numFmtId="169" formatCode="0.00000"/>
    <numFmt numFmtId="170" formatCode="#,##0_ ;\-#,##0\ "/>
    <numFmt numFmtId="171" formatCode="#,##0.00\ _€"/>
    <numFmt numFmtId="172" formatCode="0.000%"/>
    <numFmt numFmtId="173" formatCode="0.000"/>
  </numFmts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10"/>
      <color rgb="FFFF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1"/>
      <color theme="5" tint="-0.499984740745262"/>
      <name val="Calibri"/>
      <family val="2"/>
      <scheme val="minor"/>
    </font>
    <font>
      <sz val="10"/>
      <color rgb="FF81160E"/>
      <name val="Arial"/>
      <family val="2"/>
    </font>
    <font>
      <sz val="10"/>
      <color theme="1"/>
      <name val="Arial"/>
      <family val="2"/>
    </font>
    <font>
      <sz val="10"/>
      <color rgb="FF538DD5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8"/>
      <color theme="3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indexed="56"/>
      <name val="Arial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b/>
      <u/>
      <sz val="18"/>
      <color theme="4" tint="-0.499984740745262"/>
      <name val="Arial"/>
      <family val="2"/>
    </font>
    <font>
      <b/>
      <u/>
      <sz val="18"/>
      <color indexed="18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b/>
      <sz val="16"/>
      <color theme="8" tint="0.59999389629810485"/>
      <name val="Arial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  <font>
      <sz val="12"/>
      <color theme="0"/>
      <name val="Arial"/>
      <family val="2"/>
    </font>
    <font>
      <sz val="12"/>
      <color rgb="FF0000FF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rgb="FF002060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2"/>
      <name val="Arial"/>
      <family val="2"/>
    </font>
    <font>
      <b/>
      <sz val="16"/>
      <color theme="4" tint="-0.499984740745262"/>
      <name val="Arial"/>
      <family val="2"/>
    </font>
    <font>
      <sz val="14"/>
      <name val="Arial"/>
      <family val="2"/>
    </font>
    <font>
      <b/>
      <u/>
      <sz val="12"/>
      <color indexed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sz val="11"/>
      <color indexed="17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10"/>
      <name val="Arial"/>
      <family val="2"/>
    </font>
    <font>
      <sz val="10"/>
      <color theme="1"/>
      <name val="Calibri"/>
      <family val="2"/>
      <scheme val="minor"/>
    </font>
    <font>
      <b/>
      <u/>
      <sz val="20"/>
      <color indexed="12"/>
      <name val="Arial"/>
      <family val="2"/>
    </font>
    <font>
      <b/>
      <u/>
      <sz val="16"/>
      <color indexed="12"/>
      <name val="Arial"/>
      <family val="2"/>
    </font>
    <font>
      <b/>
      <sz val="20"/>
      <color indexed="10"/>
      <name val="Arial"/>
      <family val="2"/>
    </font>
    <font>
      <b/>
      <sz val="14"/>
      <name val="Arial"/>
      <family val="2"/>
    </font>
    <font>
      <b/>
      <sz val="14"/>
      <color indexed="18"/>
      <name val="Arial"/>
      <family val="2"/>
    </font>
    <font>
      <sz val="12"/>
      <color indexed="18"/>
      <name val="Arial"/>
      <family val="2"/>
    </font>
    <font>
      <sz val="12"/>
      <color indexed="52"/>
      <name val="Arial"/>
      <family val="2"/>
    </font>
    <font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4"/>
      <color indexed="1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8"/>
      <color rgb="FF0000CC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8"/>
      <color indexed="8"/>
      <name val="Arial"/>
      <family val="2"/>
    </font>
    <font>
      <b/>
      <sz val="18"/>
      <name val="Arial"/>
      <family val="2"/>
    </font>
    <font>
      <b/>
      <sz val="16"/>
      <color indexed="8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  <font>
      <b/>
      <sz val="16"/>
      <color theme="9" tint="-0.249977111117893"/>
      <name val="Arial"/>
      <family val="2"/>
    </font>
    <font>
      <b/>
      <u/>
      <sz val="12"/>
      <name val="Arial"/>
      <family val="2"/>
    </font>
    <font>
      <b/>
      <u/>
      <sz val="16"/>
      <color indexed="8"/>
      <name val="Arial"/>
      <family val="2"/>
    </font>
    <font>
      <b/>
      <u/>
      <sz val="16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b/>
      <sz val="14"/>
      <color indexed="8"/>
      <name val="Arial"/>
      <family val="2"/>
    </font>
    <font>
      <sz val="12"/>
      <color rgb="FFFF0000"/>
      <name val="Arial"/>
      <family val="2"/>
    </font>
    <font>
      <sz val="12"/>
      <color theme="0" tint="-0.14999847407452621"/>
      <name val="Arial"/>
      <family val="2"/>
    </font>
    <font>
      <b/>
      <sz val="20"/>
      <color indexed="8"/>
      <name val="Arial"/>
      <family val="2"/>
    </font>
    <font>
      <sz val="20"/>
      <name val="Arial"/>
      <family val="2"/>
    </font>
    <font>
      <b/>
      <sz val="12"/>
      <color indexed="9"/>
      <name val="Arial"/>
      <family val="2"/>
    </font>
    <font>
      <b/>
      <u/>
      <sz val="12"/>
      <color theme="1"/>
      <name val="Arial"/>
      <family val="2"/>
    </font>
    <font>
      <u/>
      <sz val="12"/>
      <color indexed="9"/>
      <name val="Arial"/>
      <family val="2"/>
    </font>
    <font>
      <sz val="12"/>
      <color indexed="9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10"/>
      <name val="Tahoma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22"/>
      <name val="Arial"/>
      <family val="2"/>
    </font>
    <font>
      <b/>
      <sz val="18"/>
      <color theme="0"/>
      <name val="Arial"/>
      <family val="2"/>
    </font>
    <font>
      <b/>
      <sz val="18"/>
      <color rgb="FFFFFF00"/>
      <name val="Arial"/>
      <family val="2"/>
    </font>
    <font>
      <b/>
      <sz val="14"/>
      <color theme="1" tint="4.9989318521683403E-2"/>
      <name val="Arial"/>
      <family val="2"/>
    </font>
    <font>
      <b/>
      <sz val="24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18"/>
      <color rgb="FF00206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indexed="1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rgb="FFFF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99FF99"/>
      </patternFill>
    </fill>
    <fill>
      <patternFill patternType="solid">
        <fgColor rgb="FFFF0000"/>
        <bgColor rgb="FF99FF99"/>
      </patternFill>
    </fill>
    <fill>
      <patternFill patternType="solid">
        <fgColor rgb="FFCC0000"/>
        <bgColor indexed="64"/>
      </patternFill>
    </fill>
    <fill>
      <patternFill patternType="solid">
        <fgColor rgb="FFCC0000"/>
        <bgColor rgb="FF99FF99"/>
      </patternFill>
    </fill>
    <fill>
      <patternFill patternType="solid">
        <fgColor rgb="FFFF99FF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 style="thin">
        <color indexed="64"/>
      </left>
      <right style="medium">
        <color theme="8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8" tint="-0.2499465926084170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theme="8" tint="-0.2499465926084170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52"/>
      </left>
      <right style="thick">
        <color indexed="51"/>
      </right>
      <top style="thick">
        <color indexed="52"/>
      </top>
      <bottom style="thick">
        <color indexed="5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thick">
        <color indexed="51"/>
      </left>
      <right/>
      <top style="thick">
        <color indexed="52"/>
      </top>
      <bottom style="thick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theme="8" tint="-0.249946592608417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theme="8" tint="-0.24994659260841701"/>
      </right>
      <top style="medium">
        <color indexed="10"/>
      </top>
      <bottom style="medium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8" tint="-0.24994659260841701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double">
        <color rgb="FF00B050"/>
      </left>
      <right style="thin">
        <color rgb="FF00B050"/>
      </right>
      <top/>
      <bottom style="double">
        <color rgb="FF00B050"/>
      </bottom>
      <diagonal/>
    </border>
    <border>
      <left style="thin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8" tint="-0.2499465926084170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8" tint="-0.2499465926084170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theme="5" tint="-0.24994659260841701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theme="8" tint="-0.2499465926084170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rgb="FF00B050"/>
      </left>
      <right style="medium">
        <color theme="8" tint="-0.24994659260841701"/>
      </right>
      <top style="thick">
        <color rgb="FF00B050"/>
      </top>
      <bottom/>
      <diagonal/>
    </border>
    <border>
      <left style="thin">
        <color indexed="64"/>
      </left>
      <right style="thick">
        <color rgb="FF00B050"/>
      </right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 style="thick">
        <color rgb="FF00B050"/>
      </left>
      <right style="medium">
        <color theme="8" tint="-0.24994659260841701"/>
      </right>
      <top/>
      <bottom style="thick">
        <color rgb="FF00B050"/>
      </bottom>
      <diagonal/>
    </border>
    <border>
      <left style="thin">
        <color indexed="64"/>
      </left>
      <right style="thick">
        <color rgb="FF00B050"/>
      </right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 style="thick">
        <color theme="9" tint="-0.24994659260841701"/>
      </left>
      <right style="medium">
        <color theme="8" tint="-0.24994659260841701"/>
      </right>
      <top style="thick">
        <color theme="9" tint="-0.24994659260841701"/>
      </top>
      <bottom/>
      <diagonal/>
    </border>
    <border>
      <left style="thin">
        <color indexed="64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 style="thick">
        <color theme="9" tint="-0.24994659260841701"/>
      </left>
      <right style="medium">
        <color theme="8" tint="-0.24994659260841701"/>
      </right>
      <top/>
      <bottom/>
      <diagonal/>
    </border>
    <border>
      <left style="thin">
        <color indexed="64"/>
      </left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medium">
        <color theme="8" tint="-0.24994659260841701"/>
      </right>
      <top/>
      <bottom style="thin">
        <color indexed="64"/>
      </bottom>
      <diagonal/>
    </border>
    <border>
      <left style="thin">
        <color indexed="64"/>
      </left>
      <right style="thick">
        <color theme="9" tint="-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9" tint="-0.24994659260841701"/>
      </left>
      <right style="medium">
        <color theme="8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 style="medium">
        <color theme="8" tint="-0.2499465926084170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theme="9" tint="-0.24994659260841701"/>
      </right>
      <top style="medium">
        <color indexed="64"/>
      </top>
      <bottom style="medium">
        <color indexed="64"/>
      </bottom>
      <diagonal/>
    </border>
    <border>
      <left style="thick">
        <color theme="9" tint="-0.24994659260841701"/>
      </left>
      <right style="medium">
        <color theme="8" tint="-0.24994659260841701"/>
      </right>
      <top style="medium">
        <color indexed="64"/>
      </top>
      <bottom style="thick">
        <color theme="9" tint="-0.24994659260841701"/>
      </bottom>
      <diagonal/>
    </border>
    <border>
      <left style="thin">
        <color indexed="64"/>
      </left>
      <right style="thick">
        <color theme="9" tint="-0.24994659260841701"/>
      </right>
      <top style="medium">
        <color indexed="64"/>
      </top>
      <bottom style="thick">
        <color theme="9" tint="-0.24994659260841701"/>
      </bottom>
      <diagonal/>
    </border>
    <border>
      <left/>
      <right/>
      <top style="medium">
        <color indexed="64"/>
      </top>
      <bottom style="thick">
        <color theme="9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10"/>
      </left>
      <right style="medium">
        <color theme="8" tint="-0.24994659260841701"/>
      </right>
      <top style="medium">
        <color indexed="10"/>
      </top>
      <bottom/>
      <diagonal/>
    </border>
    <border>
      <left style="double">
        <color rgb="FF00B050"/>
      </left>
      <right style="thin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theme="8" tint="-0.2499465926084170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thick">
        <color indexed="39"/>
      </left>
      <right/>
      <top style="thick">
        <color indexed="39"/>
      </top>
      <bottom/>
      <diagonal/>
    </border>
    <border>
      <left/>
      <right/>
      <top style="thick">
        <color indexed="39"/>
      </top>
      <bottom/>
      <diagonal/>
    </border>
    <border>
      <left/>
      <right style="medium">
        <color theme="8" tint="-0.24994659260841701"/>
      </right>
      <top style="thick">
        <color indexed="12"/>
      </top>
      <bottom/>
      <diagonal/>
    </border>
    <border>
      <left style="thick">
        <color indexed="39"/>
      </left>
      <right/>
      <top/>
      <bottom/>
      <diagonal/>
    </border>
    <border>
      <left style="thick">
        <color indexed="39"/>
      </left>
      <right/>
      <top/>
      <bottom style="thick">
        <color indexed="39"/>
      </bottom>
      <diagonal/>
    </border>
    <border>
      <left/>
      <right/>
      <top/>
      <bottom style="thick">
        <color indexed="39"/>
      </bottom>
      <diagonal/>
    </border>
    <border>
      <left/>
      <right style="medium">
        <color theme="8" tint="-0.24994659260841701"/>
      </right>
      <top/>
      <bottom style="thick">
        <color indexed="39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rgb="FF00B050"/>
      </top>
      <bottom style="double">
        <color rgb="FF00B050"/>
      </bottom>
      <diagonal/>
    </border>
    <border>
      <left style="thin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/>
      <right/>
      <top style="thick">
        <color indexed="17"/>
      </top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64"/>
      </left>
      <right style="medium">
        <color theme="8" tint="-0.24994659260841701"/>
      </right>
      <top/>
      <bottom style="medium">
        <color indexed="64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n">
        <color indexed="64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49" fillId="0" borderId="0" applyFont="0" applyFill="0" applyBorder="0" applyAlignment="0" applyProtection="0"/>
  </cellStyleXfs>
  <cellXfs count="656">
    <xf numFmtId="0" fontId="0" fillId="0" borderId="0" xfId="0"/>
    <xf numFmtId="0" fontId="4" fillId="0" borderId="1" xfId="0" applyFont="1" applyBorder="1"/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5" borderId="1" xfId="0" applyFont="1" applyFill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2" fillId="0" borderId="1" xfId="0" applyNumberFormat="1" applyFont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 shrinkToFit="1"/>
    </xf>
    <xf numFmtId="2" fontId="9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4" fillId="2" borderId="1" xfId="0" applyFont="1" applyFill="1" applyBorder="1"/>
    <xf numFmtId="0" fontId="7" fillId="0" borderId="1" xfId="0" applyFont="1" applyBorder="1" applyAlignment="1">
      <alignment horizontal="left"/>
    </xf>
    <xf numFmtId="0" fontId="8" fillId="3" borderId="1" xfId="0" applyFont="1" applyFill="1" applyBorder="1"/>
    <xf numFmtId="0" fontId="10" fillId="0" borderId="1" xfId="0" applyFont="1" applyBorder="1" applyAlignment="1">
      <alignment vertical="center" wrapText="1"/>
    </xf>
    <xf numFmtId="0" fontId="14" fillId="0" borderId="0" xfId="0" applyFont="1" applyProtection="1">
      <protection locked="0"/>
    </xf>
    <xf numFmtId="0" fontId="14" fillId="0" borderId="0" xfId="0" applyFont="1"/>
    <xf numFmtId="17" fontId="15" fillId="6" borderId="0" xfId="0" applyNumberFormat="1" applyFont="1" applyFill="1" applyAlignment="1">
      <alignment horizontal="center"/>
    </xf>
    <xf numFmtId="10" fontId="15" fillId="6" borderId="0" xfId="3" applyNumberFormat="1" applyFont="1" applyFill="1" applyAlignment="1">
      <alignment horizontal="center"/>
    </xf>
    <xf numFmtId="0" fontId="0" fillId="0" borderId="0" xfId="0" applyProtection="1">
      <protection locked="0"/>
    </xf>
    <xf numFmtId="0" fontId="0" fillId="7" borderId="0" xfId="0" applyFill="1"/>
    <xf numFmtId="0" fontId="0" fillId="7" borderId="3" xfId="0" applyFill="1" applyBorder="1"/>
    <xf numFmtId="0" fontId="18" fillId="0" borderId="0" xfId="0" applyFont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/>
    <xf numFmtId="0" fontId="21" fillId="0" borderId="4" xfId="0" applyFont="1" applyBorder="1" applyAlignment="1">
      <alignment horizontal="left" vertical="center" indent="1"/>
    </xf>
    <xf numFmtId="2" fontId="23" fillId="8" borderId="0" xfId="0" applyNumberFormat="1" applyFont="1" applyFill="1" applyAlignment="1">
      <alignment vertical="center"/>
    </xf>
    <xf numFmtId="0" fontId="0" fillId="8" borderId="0" xfId="0" applyFill="1"/>
    <xf numFmtId="0" fontId="24" fillId="8" borderId="3" xfId="0" applyFont="1" applyFill="1" applyBorder="1"/>
    <xf numFmtId="2" fontId="25" fillId="9" borderId="0" xfId="0" applyNumberFormat="1" applyFont="1" applyFill="1" applyAlignment="1">
      <alignment vertical="center"/>
    </xf>
    <xf numFmtId="0" fontId="16" fillId="0" borderId="0" xfId="0" applyFont="1"/>
    <xf numFmtId="2" fontId="26" fillId="10" borderId="0" xfId="0" applyNumberFormat="1" applyFont="1" applyFill="1" applyAlignment="1" applyProtection="1">
      <alignment vertical="center"/>
      <protection locked="0"/>
    </xf>
    <xf numFmtId="2" fontId="27" fillId="10" borderId="0" xfId="0" applyNumberFormat="1" applyFont="1" applyFill="1" applyAlignment="1">
      <alignment vertical="center"/>
    </xf>
    <xf numFmtId="3" fontId="27" fillId="10" borderId="0" xfId="0" applyNumberFormat="1" applyFont="1" applyFill="1" applyAlignment="1">
      <alignment vertical="center"/>
    </xf>
    <xf numFmtId="166" fontId="28" fillId="10" borderId="0" xfId="2" applyNumberFormat="1" applyFont="1" applyFill="1" applyAlignment="1">
      <alignment vertical="center"/>
    </xf>
    <xf numFmtId="2" fontId="29" fillId="10" borderId="0" xfId="0" applyNumberFormat="1" applyFont="1" applyFill="1"/>
    <xf numFmtId="2" fontId="11" fillId="0" borderId="0" xfId="0" applyNumberFormat="1" applyFont="1"/>
    <xf numFmtId="2" fontId="31" fillId="11" borderId="0" xfId="0" applyNumberFormat="1" applyFont="1" applyFill="1" applyProtection="1">
      <protection locked="0"/>
    </xf>
    <xf numFmtId="166" fontId="17" fillId="11" borderId="0" xfId="2" applyNumberFormat="1" applyFont="1" applyFill="1" applyAlignment="1" applyProtection="1">
      <alignment horizontal="center"/>
      <protection locked="0"/>
    </xf>
    <xf numFmtId="2" fontId="32" fillId="0" borderId="0" xfId="0" applyNumberFormat="1" applyFont="1" applyProtection="1">
      <protection locked="0"/>
    </xf>
    <xf numFmtId="2" fontId="4" fillId="0" borderId="0" xfId="0" applyNumberFormat="1" applyFont="1"/>
    <xf numFmtId="9" fontId="31" fillId="0" borderId="0" xfId="3" applyFont="1" applyAlignment="1" applyProtection="1">
      <protection locked="0"/>
    </xf>
    <xf numFmtId="2" fontId="31" fillId="0" borderId="0" xfId="0" applyNumberFormat="1" applyFont="1"/>
    <xf numFmtId="2" fontId="25" fillId="0" borderId="0" xfId="0" applyNumberFormat="1" applyFont="1"/>
    <xf numFmtId="2" fontId="33" fillId="0" borderId="0" xfId="0" applyNumberFormat="1" applyFont="1"/>
    <xf numFmtId="2" fontId="34" fillId="10" borderId="0" xfId="0" applyNumberFormat="1" applyFont="1" applyFill="1"/>
    <xf numFmtId="167" fontId="35" fillId="10" borderId="0" xfId="3" applyNumberFormat="1" applyFont="1" applyFill="1" applyAlignment="1"/>
    <xf numFmtId="2" fontId="36" fillId="0" borderId="0" xfId="0" applyNumberFormat="1" applyFont="1"/>
    <xf numFmtId="2" fontId="33" fillId="12" borderId="0" xfId="0" applyNumberFormat="1" applyFont="1" applyFill="1"/>
    <xf numFmtId="2" fontId="32" fillId="12" borderId="0" xfId="0" applyNumberFormat="1" applyFont="1" applyFill="1"/>
    <xf numFmtId="2" fontId="4" fillId="0" borderId="0" xfId="0" applyNumberFormat="1" applyFont="1" applyProtection="1">
      <protection locked="0"/>
    </xf>
    <xf numFmtId="10" fontId="37" fillId="13" borderId="0" xfId="3" applyNumberFormat="1" applyFont="1" applyFill="1" applyAlignment="1"/>
    <xf numFmtId="167" fontId="38" fillId="13" borderId="0" xfId="3" applyNumberFormat="1" applyFont="1" applyFill="1" applyAlignment="1"/>
    <xf numFmtId="2" fontId="11" fillId="12" borderId="0" xfId="0" applyNumberFormat="1" applyFont="1" applyFill="1"/>
    <xf numFmtId="2" fontId="0" fillId="14" borderId="0" xfId="0" applyNumberFormat="1" applyFill="1"/>
    <xf numFmtId="2" fontId="39" fillId="14" borderId="0" xfId="0" applyNumberFormat="1" applyFont="1" applyFill="1" applyAlignment="1">
      <alignment horizontal="left"/>
    </xf>
    <xf numFmtId="0" fontId="0" fillId="14" borderId="3" xfId="0" applyFill="1" applyBorder="1"/>
    <xf numFmtId="0" fontId="0" fillId="14" borderId="0" xfId="0" applyFill="1"/>
    <xf numFmtId="2" fontId="25" fillId="5" borderId="0" xfId="0" applyNumberFormat="1" applyFont="1" applyFill="1"/>
    <xf numFmtId="167" fontId="40" fillId="5" borderId="0" xfId="3" applyNumberFormat="1" applyFont="1" applyFill="1" applyAlignment="1"/>
    <xf numFmtId="2" fontId="33" fillId="5" borderId="0" xfId="0" applyNumberFormat="1" applyFont="1" applyFill="1"/>
    <xf numFmtId="0" fontId="0" fillId="0" borderId="3" xfId="0" applyBorder="1"/>
    <xf numFmtId="2" fontId="0" fillId="0" borderId="0" xfId="0" applyNumberFormat="1" applyAlignment="1">
      <alignment horizontal="right"/>
    </xf>
    <xf numFmtId="2" fontId="14" fillId="0" borderId="0" xfId="0" applyNumberFormat="1" applyFont="1"/>
    <xf numFmtId="0" fontId="42" fillId="0" borderId="0" xfId="4" applyFont="1" applyFill="1" applyBorder="1" applyAlignment="1" applyProtection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2" fillId="0" borderId="0" xfId="4" applyFont="1" applyFill="1" applyAlignment="1" applyProtection="1"/>
    <xf numFmtId="0" fontId="46" fillId="0" borderId="0" xfId="0" applyFont="1"/>
    <xf numFmtId="0" fontId="47" fillId="0" borderId="0" xfId="0" applyFont="1" applyAlignment="1">
      <alignment horizontal="center" vertical="center"/>
    </xf>
    <xf numFmtId="0" fontId="0" fillId="15" borderId="0" xfId="0" applyFill="1"/>
    <xf numFmtId="169" fontId="0" fillId="0" borderId="0" xfId="0" applyNumberFormat="1"/>
    <xf numFmtId="165" fontId="16" fillId="0" borderId="1" xfId="0" applyNumberFormat="1" applyFont="1" applyBorder="1"/>
    <xf numFmtId="10" fontId="16" fillId="15" borderId="0" xfId="3" applyNumberFormat="1" applyFont="1" applyFill="1" applyProtection="1"/>
    <xf numFmtId="168" fontId="0" fillId="0" borderId="0" xfId="0" applyNumberFormat="1"/>
    <xf numFmtId="0" fontId="50" fillId="15" borderId="0" xfId="0" applyFont="1" applyFill="1"/>
    <xf numFmtId="10" fontId="0" fillId="0" borderId="0" xfId="0" applyNumberFormat="1"/>
    <xf numFmtId="0" fontId="51" fillId="0" borderId="0" xfId="0" applyFont="1"/>
    <xf numFmtId="17" fontId="14" fillId="0" borderId="0" xfId="0" applyNumberFormat="1" applyFont="1"/>
    <xf numFmtId="0" fontId="43" fillId="0" borderId="3" xfId="0" applyFont="1" applyBorder="1"/>
    <xf numFmtId="9" fontId="43" fillId="0" borderId="0" xfId="0" applyNumberFormat="1" applyFont="1"/>
    <xf numFmtId="0" fontId="45" fillId="0" borderId="0" xfId="0" applyFont="1" applyAlignment="1">
      <alignment horizontal="right" vertical="center" wrapText="1"/>
    </xf>
    <xf numFmtId="0" fontId="0" fillId="13" borderId="0" xfId="0" applyFill="1"/>
    <xf numFmtId="0" fontId="1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52" fillId="0" borderId="1" xfId="0" applyFont="1" applyBorder="1"/>
    <xf numFmtId="0" fontId="45" fillId="0" borderId="1" xfId="0" applyFont="1" applyBorder="1" applyProtection="1">
      <protection locked="0"/>
    </xf>
    <xf numFmtId="0" fontId="14" fillId="0" borderId="0" xfId="0" applyFont="1" applyAlignment="1">
      <alignment horizontal="center"/>
    </xf>
    <xf numFmtId="9" fontId="53" fillId="17" borderId="10" xfId="3" applyFont="1" applyFill="1" applyBorder="1" applyProtection="1"/>
    <xf numFmtId="2" fontId="54" fillId="0" borderId="1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" fontId="14" fillId="0" borderId="9" xfId="0" applyNumberFormat="1" applyFont="1" applyBorder="1"/>
    <xf numFmtId="1" fontId="14" fillId="0" borderId="1" xfId="0" applyNumberFormat="1" applyFont="1" applyBorder="1"/>
    <xf numFmtId="9" fontId="53" fillId="17" borderId="12" xfId="3" applyFont="1" applyFill="1" applyBorder="1" applyProtection="1"/>
    <xf numFmtId="9" fontId="53" fillId="7" borderId="12" xfId="3" applyFont="1" applyFill="1" applyBorder="1" applyProtection="1"/>
    <xf numFmtId="9" fontId="53" fillId="7" borderId="13" xfId="3" applyFont="1" applyFill="1" applyBorder="1" applyProtection="1"/>
    <xf numFmtId="9" fontId="53" fillId="7" borderId="0" xfId="3" applyFont="1" applyFill="1" applyBorder="1" applyProtection="1"/>
    <xf numFmtId="2" fontId="54" fillId="0" borderId="0" xfId="0" applyNumberFormat="1" applyFont="1" applyAlignment="1">
      <alignment horizontal="center"/>
    </xf>
    <xf numFmtId="1" fontId="14" fillId="0" borderId="0" xfId="0" applyNumberFormat="1" applyFont="1"/>
    <xf numFmtId="1" fontId="55" fillId="0" borderId="3" xfId="0" applyNumberFormat="1" applyFont="1" applyBorder="1"/>
    <xf numFmtId="1" fontId="55" fillId="0" borderId="0" xfId="0" applyNumberFormat="1" applyFont="1"/>
    <xf numFmtId="0" fontId="19" fillId="13" borderId="0" xfId="0" applyFont="1" applyFill="1"/>
    <xf numFmtId="0" fontId="0" fillId="13" borderId="3" xfId="0" applyFill="1" applyBorder="1"/>
    <xf numFmtId="0" fontId="43" fillId="13" borderId="0" xfId="0" applyFont="1" applyFill="1"/>
    <xf numFmtId="0" fontId="14" fillId="0" borderId="3" xfId="0" applyFont="1" applyBorder="1"/>
    <xf numFmtId="0" fontId="50" fillId="0" borderId="0" xfId="0" applyFont="1"/>
    <xf numFmtId="0" fontId="43" fillId="18" borderId="0" xfId="0" applyFont="1" applyFill="1"/>
    <xf numFmtId="0" fontId="0" fillId="18" borderId="0" xfId="0" applyFill="1"/>
    <xf numFmtId="0" fontId="0" fillId="18" borderId="3" xfId="0" applyFill="1" applyBorder="1"/>
    <xf numFmtId="0" fontId="0" fillId="19" borderId="0" xfId="0" applyFill="1"/>
    <xf numFmtId="0" fontId="56" fillId="7" borderId="0" xfId="0" applyFont="1" applyFill="1"/>
    <xf numFmtId="0" fontId="0" fillId="20" borderId="0" xfId="0" applyFill="1"/>
    <xf numFmtId="0" fontId="57" fillId="7" borderId="0" xfId="0" applyFont="1" applyFill="1"/>
    <xf numFmtId="17" fontId="45" fillId="16" borderId="0" xfId="0" applyNumberFormat="1" applyFont="1" applyFill="1" applyAlignment="1">
      <alignment vertical="center" wrapText="1"/>
    </xf>
    <xf numFmtId="5" fontId="0" fillId="0" borderId="0" xfId="0" applyNumberFormat="1"/>
    <xf numFmtId="0" fontId="14" fillId="0" borderId="1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4" xfId="0" applyFont="1" applyBorder="1" applyAlignment="1">
      <alignment vertical="center"/>
    </xf>
    <xf numFmtId="0" fontId="14" fillId="0" borderId="15" xfId="0" applyFont="1" applyBorder="1"/>
    <xf numFmtId="0" fontId="43" fillId="0" borderId="1" xfId="0" applyFont="1" applyBorder="1"/>
    <xf numFmtId="0" fontId="39" fillId="0" borderId="1" xfId="0" applyFont="1" applyBorder="1"/>
    <xf numFmtId="0" fontId="39" fillId="0" borderId="0" xfId="0" applyFont="1"/>
    <xf numFmtId="0" fontId="45" fillId="16" borderId="0" xfId="0" applyFont="1" applyFill="1" applyAlignment="1">
      <alignment vertical="center" wrapText="1"/>
    </xf>
    <xf numFmtId="9" fontId="0" fillId="0" borderId="0" xfId="3" applyFont="1" applyBorder="1" applyProtection="1"/>
    <xf numFmtId="0" fontId="58" fillId="0" borderId="1" xfId="0" applyFont="1" applyBorder="1" applyProtection="1">
      <protection locked="0"/>
    </xf>
    <xf numFmtId="0" fontId="14" fillId="0" borderId="2" xfId="0" applyFont="1" applyBorder="1"/>
    <xf numFmtId="0" fontId="14" fillId="0" borderId="16" xfId="0" applyFont="1" applyBorder="1"/>
    <xf numFmtId="0" fontId="14" fillId="0" borderId="17" xfId="0" applyFont="1" applyBorder="1"/>
    <xf numFmtId="0" fontId="0" fillId="0" borderId="0" xfId="0" applyAlignment="1" applyProtection="1">
      <alignment vertical="center"/>
      <protection locked="0"/>
    </xf>
    <xf numFmtId="0" fontId="59" fillId="0" borderId="18" xfId="0" applyFont="1" applyBorder="1" applyAlignment="1">
      <alignment vertical="center"/>
    </xf>
    <xf numFmtId="0" fontId="39" fillId="0" borderId="19" xfId="0" applyFont="1" applyBorder="1" applyAlignment="1">
      <alignment vertical="center"/>
    </xf>
    <xf numFmtId="0" fontId="39" fillId="0" borderId="20" xfId="0" applyFont="1" applyBorder="1" applyAlignment="1">
      <alignment vertical="center"/>
    </xf>
    <xf numFmtId="0" fontId="39" fillId="0" borderId="21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Alignment="1">
      <alignment vertical="center"/>
    </xf>
    <xf numFmtId="17" fontId="39" fillId="0" borderId="0" xfId="0" applyNumberFormat="1" applyFont="1" applyAlignment="1">
      <alignment vertical="center"/>
    </xf>
    <xf numFmtId="170" fontId="39" fillId="0" borderId="0" xfId="0" applyNumberFormat="1" applyFont="1" applyAlignment="1">
      <alignment vertical="center"/>
    </xf>
    <xf numFmtId="0" fontId="14" fillId="21" borderId="22" xfId="0" applyFont="1" applyFill="1" applyBorder="1"/>
    <xf numFmtId="0" fontId="39" fillId="0" borderId="3" xfId="0" applyFont="1" applyBorder="1"/>
    <xf numFmtId="0" fontId="14" fillId="22" borderId="23" xfId="0" applyFont="1" applyFill="1" applyBorder="1" applyAlignment="1">
      <alignment horizontal="right"/>
    </xf>
    <xf numFmtId="9" fontId="54" fillId="23" borderId="24" xfId="0" applyNumberFormat="1" applyFont="1" applyFill="1" applyBorder="1" applyProtection="1">
      <protection locked="0"/>
    </xf>
    <xf numFmtId="0" fontId="61" fillId="24" borderId="19" xfId="0" applyFont="1" applyFill="1" applyBorder="1"/>
    <xf numFmtId="0" fontId="0" fillId="0" borderId="1" xfId="0" applyBorder="1" applyProtection="1">
      <protection locked="0"/>
    </xf>
    <xf numFmtId="10" fontId="16" fillId="0" borderId="1" xfId="0" applyNumberFormat="1" applyFont="1" applyBorder="1" applyProtection="1">
      <protection locked="0"/>
    </xf>
    <xf numFmtId="9" fontId="45" fillId="0" borderId="1" xfId="3" applyFont="1" applyFill="1" applyBorder="1" applyProtection="1">
      <protection locked="0"/>
    </xf>
    <xf numFmtId="0" fontId="60" fillId="24" borderId="3" xfId="0" applyFont="1" applyFill="1" applyBorder="1" applyProtection="1">
      <protection locked="0"/>
    </xf>
    <xf numFmtId="0" fontId="61" fillId="24" borderId="0" xfId="0" applyFont="1" applyFill="1"/>
    <xf numFmtId="9" fontId="54" fillId="24" borderId="0" xfId="0" applyNumberFormat="1" applyFont="1" applyFill="1" applyProtection="1">
      <protection locked="0"/>
    </xf>
    <xf numFmtId="17" fontId="45" fillId="0" borderId="1" xfId="0" applyNumberFormat="1" applyFont="1" applyBorder="1" applyAlignment="1" applyProtection="1">
      <alignment horizontal="right"/>
      <protection locked="0"/>
    </xf>
    <xf numFmtId="170" fontId="45" fillId="0" borderId="1" xfId="0" applyNumberFormat="1" applyFont="1" applyBorder="1" applyProtection="1">
      <protection locked="0"/>
    </xf>
    <xf numFmtId="10" fontId="45" fillId="0" borderId="1" xfId="0" applyNumberFormat="1" applyFont="1" applyBorder="1" applyProtection="1">
      <protection locked="0"/>
    </xf>
    <xf numFmtId="3" fontId="45" fillId="0" borderId="1" xfId="0" applyNumberFormat="1" applyFont="1" applyBorder="1" applyAlignment="1" applyProtection="1">
      <alignment horizontal="center"/>
      <protection locked="0"/>
    </xf>
    <xf numFmtId="167" fontId="45" fillId="0" borderId="1" xfId="3" applyNumberFormat="1" applyFont="1" applyFill="1" applyBorder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62" fillId="18" borderId="0" xfId="0" applyFont="1" applyFill="1"/>
    <xf numFmtId="0" fontId="39" fillId="0" borderId="27" xfId="0" applyFont="1" applyBorder="1"/>
    <xf numFmtId="0" fontId="39" fillId="0" borderId="19" xfId="0" applyFont="1" applyBorder="1"/>
    <xf numFmtId="9" fontId="54" fillId="0" borderId="29" xfId="0" applyNumberFormat="1" applyFont="1" applyBorder="1" applyAlignment="1" applyProtection="1">
      <alignment horizontal="center"/>
      <protection locked="0"/>
    </xf>
    <xf numFmtId="0" fontId="42" fillId="7" borderId="0" xfId="0" applyFont="1" applyFill="1"/>
    <xf numFmtId="0" fontId="54" fillId="0" borderId="3" xfId="0" applyFont="1" applyBorder="1" applyAlignment="1" applyProtection="1">
      <alignment horizontal="center"/>
      <protection locked="0"/>
    </xf>
    <xf numFmtId="10" fontId="45" fillId="0" borderId="0" xfId="3" applyNumberFormat="1" applyFont="1" applyFill="1" applyBorder="1" applyAlignment="1" applyProtection="1">
      <alignment horizontal="center"/>
      <protection locked="0"/>
    </xf>
    <xf numFmtId="0" fontId="14" fillId="0" borderId="4" xfId="0" applyFont="1" applyBorder="1"/>
    <xf numFmtId="1" fontId="14" fillId="0" borderId="31" xfId="0" applyNumberFormat="1" applyFont="1" applyBorder="1"/>
    <xf numFmtId="43" fontId="39" fillId="0" borderId="0" xfId="1" applyFont="1" applyFill="1" applyProtection="1"/>
    <xf numFmtId="1" fontId="39" fillId="0" borderId="0" xfId="0" applyNumberFormat="1" applyFont="1" applyAlignment="1">
      <alignment horizontal="left"/>
    </xf>
    <xf numFmtId="1" fontId="14" fillId="0" borderId="3" xfId="0" applyNumberFormat="1" applyFont="1" applyBorder="1"/>
    <xf numFmtId="9" fontId="66" fillId="24" borderId="0" xfId="3" applyFont="1" applyFill="1" applyBorder="1" applyProtection="1">
      <protection locked="0"/>
    </xf>
    <xf numFmtId="2" fontId="67" fillId="0" borderId="32" xfId="0" applyNumberFormat="1" applyFont="1" applyBorder="1"/>
    <xf numFmtId="0" fontId="68" fillId="11" borderId="33" xfId="0" applyFont="1" applyFill="1" applyBorder="1" applyAlignment="1">
      <alignment horizontal="center" vertical="center"/>
    </xf>
    <xf numFmtId="165" fontId="69" fillId="0" borderId="34" xfId="0" applyNumberFormat="1" applyFont="1" applyBorder="1" applyAlignment="1">
      <alignment vertical="center"/>
    </xf>
    <xf numFmtId="4" fontId="70" fillId="25" borderId="35" xfId="5" applyNumberFormat="1" applyFont="1" applyFill="1" applyBorder="1" applyAlignment="1">
      <alignment horizontal="center"/>
    </xf>
    <xf numFmtId="0" fontId="68" fillId="11" borderId="0" xfId="0" applyFont="1" applyFill="1" applyAlignment="1">
      <alignment horizontal="center" vertical="center"/>
    </xf>
    <xf numFmtId="0" fontId="71" fillId="0" borderId="0" xfId="0" applyFont="1"/>
    <xf numFmtId="0" fontId="31" fillId="0" borderId="3" xfId="0" applyFont="1" applyBorder="1" applyProtection="1">
      <protection locked="0"/>
    </xf>
    <xf numFmtId="0" fontId="39" fillId="0" borderId="36" xfId="0" applyFont="1" applyBorder="1"/>
    <xf numFmtId="0" fontId="39" fillId="0" borderId="37" xfId="0" applyFont="1" applyBorder="1"/>
    <xf numFmtId="0" fontId="39" fillId="0" borderId="38" xfId="0" applyFont="1" applyBorder="1"/>
    <xf numFmtId="2" fontId="39" fillId="0" borderId="39" xfId="3" applyNumberFormat="1" applyFont="1" applyBorder="1" applyAlignment="1" applyProtection="1">
      <alignment horizontal="left"/>
    </xf>
    <xf numFmtId="0" fontId="39" fillId="20" borderId="40" xfId="0" applyFont="1" applyFill="1" applyBorder="1"/>
    <xf numFmtId="0" fontId="39" fillId="0" borderId="8" xfId="0" applyFont="1" applyBorder="1"/>
    <xf numFmtId="2" fontId="39" fillId="0" borderId="41" xfId="0" applyNumberFormat="1" applyFont="1" applyBorder="1" applyAlignment="1">
      <alignment horizontal="left"/>
    </xf>
    <xf numFmtId="0" fontId="39" fillId="20" borderId="28" xfId="0" applyFont="1" applyFill="1" applyBorder="1"/>
    <xf numFmtId="0" fontId="39" fillId="0" borderId="1" xfId="0" applyFont="1" applyBorder="1" applyAlignment="1">
      <alignment horizontal="right"/>
    </xf>
    <xf numFmtId="2" fontId="39" fillId="0" borderId="39" xfId="0" applyNumberFormat="1" applyFont="1" applyBorder="1" applyAlignment="1">
      <alignment horizontal="left"/>
    </xf>
    <xf numFmtId="0" fontId="39" fillId="0" borderId="43" xfId="0" applyFont="1" applyBorder="1" applyAlignment="1">
      <alignment horizontal="right"/>
    </xf>
    <xf numFmtId="49" fontId="39" fillId="0" borderId="44" xfId="0" applyNumberFormat="1" applyFont="1" applyBorder="1" applyAlignment="1">
      <alignment horizontal="left"/>
    </xf>
    <xf numFmtId="2" fontId="39" fillId="0" borderId="42" xfId="0" applyNumberFormat="1" applyFont="1" applyBorder="1" applyAlignment="1">
      <alignment horizontal="left"/>
    </xf>
    <xf numFmtId="0" fontId="39" fillId="0" borderId="45" xfId="0" applyFont="1" applyBorder="1"/>
    <xf numFmtId="0" fontId="39" fillId="0" borderId="9" xfId="0" applyFont="1" applyBorder="1"/>
    <xf numFmtId="0" fontId="72" fillId="0" borderId="8" xfId="0" applyFont="1" applyBorder="1"/>
    <xf numFmtId="0" fontId="39" fillId="0" borderId="46" xfId="0" applyFont="1" applyBorder="1"/>
    <xf numFmtId="0" fontId="39" fillId="0" borderId="17" xfId="0" applyFont="1" applyBorder="1"/>
    <xf numFmtId="0" fontId="73" fillId="0" borderId="3" xfId="0" applyFont="1" applyBorder="1"/>
    <xf numFmtId="2" fontId="72" fillId="0" borderId="47" xfId="0" applyNumberFormat="1" applyFont="1" applyBorder="1" applyAlignment="1">
      <alignment horizontal="left"/>
    </xf>
    <xf numFmtId="0" fontId="31" fillId="26" borderId="48" xfId="0" applyFont="1" applyFill="1" applyBorder="1" applyAlignment="1">
      <alignment horizontal="right"/>
    </xf>
    <xf numFmtId="0" fontId="71" fillId="26" borderId="48" xfId="0" applyFont="1" applyFill="1" applyBorder="1" applyAlignment="1" applyProtection="1">
      <alignment horizontal="center"/>
      <protection locked="0"/>
    </xf>
    <xf numFmtId="0" fontId="47" fillId="26" borderId="48" xfId="0" applyFont="1" applyFill="1" applyBorder="1"/>
    <xf numFmtId="4" fontId="31" fillId="26" borderId="48" xfId="0" applyNumberFormat="1" applyFont="1" applyFill="1" applyBorder="1" applyAlignment="1">
      <alignment horizontal="left"/>
    </xf>
    <xf numFmtId="0" fontId="73" fillId="20" borderId="48" xfId="0" applyFont="1" applyFill="1" applyBorder="1"/>
    <xf numFmtId="2" fontId="54" fillId="0" borderId="1" xfId="0" applyNumberFormat="1" applyFont="1" applyBorder="1" applyAlignment="1" applyProtection="1">
      <alignment horizontal="left"/>
      <protection locked="0"/>
    </xf>
    <xf numFmtId="0" fontId="39" fillId="20" borderId="1" xfId="0" applyFont="1" applyFill="1" applyBorder="1"/>
    <xf numFmtId="0" fontId="25" fillId="0" borderId="1" xfId="0" applyFont="1" applyBorder="1"/>
    <xf numFmtId="2" fontId="14" fillId="0" borderId="1" xfId="0" applyNumberFormat="1" applyFont="1" applyBorder="1" applyAlignment="1">
      <alignment horizontal="center"/>
    </xf>
    <xf numFmtId="10" fontId="39" fillId="0" borderId="1" xfId="3" applyNumberFormat="1" applyFont="1" applyBorder="1" applyProtection="1"/>
    <xf numFmtId="9" fontId="39" fillId="0" borderId="1" xfId="0" applyNumberFormat="1" applyFont="1" applyBorder="1"/>
    <xf numFmtId="2" fontId="39" fillId="0" borderId="1" xfId="0" applyNumberFormat="1" applyFont="1" applyBorder="1" applyAlignment="1">
      <alignment horizontal="right"/>
    </xf>
    <xf numFmtId="9" fontId="39" fillId="20" borderId="1" xfId="0" applyNumberFormat="1" applyFont="1" applyFill="1" applyBorder="1"/>
    <xf numFmtId="9" fontId="39" fillId="0" borderId="9" xfId="3" applyFont="1" applyFill="1" applyBorder="1" applyProtection="1"/>
    <xf numFmtId="2" fontId="39" fillId="0" borderId="41" xfId="0" applyNumberFormat="1" applyFont="1" applyBorder="1" applyAlignment="1">
      <alignment horizontal="right"/>
    </xf>
    <xf numFmtId="10" fontId="74" fillId="0" borderId="9" xfId="3" applyNumberFormat="1" applyFont="1" applyFill="1" applyBorder="1" applyProtection="1">
      <protection locked="0"/>
    </xf>
    <xf numFmtId="167" fontId="39" fillId="0" borderId="9" xfId="3" applyNumberFormat="1" applyFont="1" applyFill="1" applyBorder="1" applyProtection="1"/>
    <xf numFmtId="0" fontId="39" fillId="0" borderId="16" xfId="0" applyFont="1" applyBorder="1"/>
    <xf numFmtId="2" fontId="54" fillId="0" borderId="50" xfId="0" applyNumberFormat="1" applyFont="1" applyBorder="1" applyAlignment="1" applyProtection="1">
      <alignment horizontal="right"/>
      <protection locked="0"/>
    </xf>
    <xf numFmtId="0" fontId="39" fillId="20" borderId="25" xfId="0" applyFont="1" applyFill="1" applyBorder="1"/>
    <xf numFmtId="0" fontId="14" fillId="0" borderId="26" xfId="0" applyFont="1" applyBorder="1"/>
    <xf numFmtId="2" fontId="14" fillId="0" borderId="51" xfId="0" applyNumberFormat="1" applyFont="1" applyBorder="1" applyAlignment="1">
      <alignment horizontal="center"/>
    </xf>
    <xf numFmtId="0" fontId="14" fillId="20" borderId="19" xfId="0" applyFont="1" applyFill="1" applyBorder="1"/>
    <xf numFmtId="0" fontId="14" fillId="0" borderId="52" xfId="0" applyFont="1" applyBorder="1"/>
    <xf numFmtId="0" fontId="39" fillId="0" borderId="53" xfId="0" applyFont="1" applyBorder="1" applyProtection="1">
      <protection locked="0"/>
    </xf>
    <xf numFmtId="2" fontId="14" fillId="0" borderId="54" xfId="0" applyNumberFormat="1" applyFont="1" applyBorder="1" applyAlignment="1">
      <alignment horizontal="left"/>
    </xf>
    <xf numFmtId="0" fontId="39" fillId="20" borderId="49" xfId="0" applyFont="1" applyFill="1" applyBorder="1"/>
    <xf numFmtId="0" fontId="39" fillId="0" borderId="0" xfId="0" applyFont="1" applyAlignment="1">
      <alignment horizontal="right"/>
    </xf>
    <xf numFmtId="0" fontId="39" fillId="0" borderId="5" xfId="0" applyFont="1" applyBorder="1" applyAlignment="1">
      <alignment horizontal="right"/>
    </xf>
    <xf numFmtId="167" fontId="14" fillId="0" borderId="26" xfId="0" applyNumberFormat="1" applyFont="1" applyBorder="1"/>
    <xf numFmtId="4" fontId="75" fillId="0" borderId="51" xfId="0" applyNumberFormat="1" applyFont="1" applyBorder="1" applyAlignment="1">
      <alignment horizontal="center"/>
    </xf>
    <xf numFmtId="4" fontId="76" fillId="20" borderId="19" xfId="0" applyNumberFormat="1" applyFont="1" applyFill="1" applyBorder="1"/>
    <xf numFmtId="167" fontId="14" fillId="0" borderId="3" xfId="0" applyNumberFormat="1" applyFont="1" applyBorder="1" applyProtection="1">
      <protection locked="0"/>
    </xf>
    <xf numFmtId="167" fontId="71" fillId="0" borderId="3" xfId="0" applyNumberFormat="1" applyFont="1" applyBorder="1" applyProtection="1">
      <protection locked="0"/>
    </xf>
    <xf numFmtId="4" fontId="76" fillId="0" borderId="41" xfId="0" applyNumberFormat="1" applyFont="1" applyBorder="1" applyAlignment="1">
      <alignment horizontal="center"/>
    </xf>
    <xf numFmtId="4" fontId="77" fillId="0" borderId="49" xfId="0" applyNumberFormat="1" applyFont="1" applyBorder="1" applyAlignment="1" applyProtection="1">
      <alignment horizontal="center"/>
      <protection locked="0"/>
    </xf>
    <xf numFmtId="4" fontId="70" fillId="20" borderId="0" xfId="0" applyNumberFormat="1" applyFont="1" applyFill="1" applyProtection="1">
      <protection locked="0"/>
    </xf>
    <xf numFmtId="0" fontId="34" fillId="27" borderId="55" xfId="0" applyFont="1" applyFill="1" applyBorder="1"/>
    <xf numFmtId="4" fontId="78" fillId="27" borderId="56" xfId="0" applyNumberFormat="1" applyFont="1" applyFill="1" applyBorder="1"/>
    <xf numFmtId="4" fontId="78" fillId="20" borderId="57" xfId="0" applyNumberFormat="1" applyFont="1" applyFill="1" applyBorder="1"/>
    <xf numFmtId="10" fontId="39" fillId="0" borderId="0" xfId="3" applyNumberFormat="1" applyFont="1" applyFill="1" applyProtection="1"/>
    <xf numFmtId="0" fontId="34" fillId="27" borderId="58" xfId="0" applyFont="1" applyFill="1" applyBorder="1"/>
    <xf numFmtId="10" fontId="78" fillId="27" borderId="59" xfId="3" applyNumberFormat="1" applyFont="1" applyFill="1" applyBorder="1" applyProtection="1"/>
    <xf numFmtId="10" fontId="78" fillId="20" borderId="60" xfId="3" applyNumberFormat="1" applyFont="1" applyFill="1" applyBorder="1" applyProtection="1"/>
    <xf numFmtId="4" fontId="79" fillId="0" borderId="49" xfId="0" applyNumberFormat="1" applyFont="1" applyBorder="1"/>
    <xf numFmtId="4" fontId="79" fillId="20" borderId="0" xfId="0" applyNumberFormat="1" applyFont="1" applyFill="1"/>
    <xf numFmtId="0" fontId="34" fillId="28" borderId="48" xfId="0" applyFont="1" applyFill="1" applyBorder="1"/>
    <xf numFmtId="4" fontId="78" fillId="28" borderId="48" xfId="0" applyNumberFormat="1" applyFont="1" applyFill="1" applyBorder="1"/>
    <xf numFmtId="0" fontId="39" fillId="20" borderId="48" xfId="0" applyFont="1" applyFill="1" applyBorder="1"/>
    <xf numFmtId="10" fontId="78" fillId="28" borderId="59" xfId="3" applyNumberFormat="1" applyFont="1" applyFill="1" applyBorder="1" applyProtection="1"/>
    <xf numFmtId="0" fontId="34" fillId="29" borderId="55" xfId="0" applyFont="1" applyFill="1" applyBorder="1"/>
    <xf numFmtId="4" fontId="78" fillId="29" borderId="56" xfId="0" applyNumberFormat="1" applyFont="1" applyFill="1" applyBorder="1"/>
    <xf numFmtId="0" fontId="34" fillId="29" borderId="58" xfId="0" applyFont="1" applyFill="1" applyBorder="1"/>
    <xf numFmtId="167" fontId="78" fillId="29" borderId="59" xfId="3" applyNumberFormat="1" applyFont="1" applyFill="1" applyBorder="1" applyProtection="1"/>
    <xf numFmtId="0" fontId="34" fillId="0" borderId="3" xfId="0" applyFont="1" applyBorder="1"/>
    <xf numFmtId="10" fontId="34" fillId="0" borderId="49" xfId="3" applyNumberFormat="1" applyFont="1" applyFill="1" applyBorder="1" applyProtection="1"/>
    <xf numFmtId="0" fontId="34" fillId="20" borderId="0" xfId="0" applyFont="1" applyFill="1"/>
    <xf numFmtId="0" fontId="34" fillId="29" borderId="48" xfId="0" applyFont="1" applyFill="1" applyBorder="1"/>
    <xf numFmtId="0" fontId="34" fillId="20" borderId="48" xfId="0" applyFont="1" applyFill="1" applyBorder="1"/>
    <xf numFmtId="167" fontId="78" fillId="28" borderId="59" xfId="3" applyNumberFormat="1" applyFont="1" applyFill="1" applyBorder="1" applyProtection="1"/>
    <xf numFmtId="2" fontId="80" fillId="30" borderId="61" xfId="0" applyNumberFormat="1" applyFont="1" applyFill="1" applyBorder="1"/>
    <xf numFmtId="0" fontId="79" fillId="30" borderId="62" xfId="0" applyFont="1" applyFill="1" applyBorder="1" applyProtection="1">
      <protection locked="0"/>
    </xf>
    <xf numFmtId="2" fontId="80" fillId="20" borderId="63" xfId="0" applyNumberFormat="1" applyFont="1" applyFill="1" applyBorder="1"/>
    <xf numFmtId="2" fontId="39" fillId="0" borderId="64" xfId="0" applyNumberFormat="1" applyFont="1" applyBorder="1"/>
    <xf numFmtId="0" fontId="39" fillId="0" borderId="65" xfId="0" applyFont="1" applyBorder="1"/>
    <xf numFmtId="2" fontId="39" fillId="20" borderId="0" xfId="0" applyNumberFormat="1" applyFont="1" applyFill="1"/>
    <xf numFmtId="2" fontId="14" fillId="0" borderId="64" xfId="0" applyNumberFormat="1" applyFont="1" applyBorder="1"/>
    <xf numFmtId="2" fontId="14" fillId="0" borderId="65" xfId="0" applyNumberFormat="1" applyFont="1" applyBorder="1"/>
    <xf numFmtId="2" fontId="14" fillId="20" borderId="0" xfId="0" applyNumberFormat="1" applyFont="1" applyFill="1"/>
    <xf numFmtId="2" fontId="39" fillId="0" borderId="64" xfId="0" applyNumberFormat="1" applyFont="1" applyBorder="1" applyProtection="1">
      <protection locked="0"/>
    </xf>
    <xf numFmtId="9" fontId="39" fillId="0" borderId="66" xfId="0" applyNumberFormat="1" applyFont="1" applyBorder="1"/>
    <xf numFmtId="2" fontId="39" fillId="0" borderId="67" xfId="0" applyNumberFormat="1" applyFont="1" applyBorder="1" applyAlignment="1">
      <alignment horizontal="right"/>
    </xf>
    <xf numFmtId="9" fontId="39" fillId="20" borderId="68" xfId="0" applyNumberFormat="1" applyFont="1" applyFill="1" applyBorder="1"/>
    <xf numFmtId="0" fontId="39" fillId="0" borderId="69" xfId="0" applyFont="1" applyBorder="1"/>
    <xf numFmtId="0" fontId="39" fillId="20" borderId="68" xfId="0" applyFont="1" applyFill="1" applyBorder="1"/>
    <xf numFmtId="0" fontId="14" fillId="0" borderId="70" xfId="0" applyFont="1" applyBorder="1"/>
    <xf numFmtId="2" fontId="14" fillId="0" borderId="71" xfId="0" applyNumberFormat="1" applyFont="1" applyBorder="1" applyAlignment="1">
      <alignment horizontal="center"/>
    </xf>
    <xf numFmtId="0" fontId="39" fillId="0" borderId="64" xfId="0" applyFont="1" applyBorder="1"/>
    <xf numFmtId="4" fontId="14" fillId="0" borderId="65" xfId="0" applyNumberFormat="1" applyFont="1" applyBorder="1" applyAlignment="1">
      <alignment horizontal="left"/>
    </xf>
    <xf numFmtId="4" fontId="39" fillId="20" borderId="0" xfId="0" applyNumberFormat="1" applyFont="1" applyFill="1"/>
    <xf numFmtId="167" fontId="14" fillId="0" borderId="72" xfId="0" applyNumberFormat="1" applyFont="1" applyBorder="1"/>
    <xf numFmtId="4" fontId="77" fillId="0" borderId="73" xfId="0" applyNumberFormat="1" applyFont="1" applyBorder="1" applyAlignment="1">
      <alignment horizontal="center"/>
    </xf>
    <xf numFmtId="4" fontId="14" fillId="20" borderId="74" xfId="0" applyNumberFormat="1" applyFont="1" applyFill="1" applyBorder="1"/>
    <xf numFmtId="0" fontId="0" fillId="0" borderId="49" xfId="0" applyBorder="1" applyProtection="1">
      <protection locked="0"/>
    </xf>
    <xf numFmtId="43" fontId="39" fillId="20" borderId="0" xfId="1" applyFont="1" applyFill="1" applyProtection="1"/>
    <xf numFmtId="1" fontId="14" fillId="0" borderId="0" xfId="0" applyNumberFormat="1" applyFont="1" applyProtection="1">
      <protection locked="0"/>
    </xf>
    <xf numFmtId="0" fontId="39" fillId="0" borderId="48" xfId="0" applyFont="1" applyBorder="1"/>
    <xf numFmtId="0" fontId="68" fillId="11" borderId="48" xfId="0" applyFont="1" applyFill="1" applyBorder="1" applyAlignment="1">
      <alignment horizontal="center" vertical="center"/>
    </xf>
    <xf numFmtId="165" fontId="69" fillId="0" borderId="48" xfId="0" applyNumberFormat="1" applyFont="1" applyBorder="1" applyAlignment="1">
      <alignment vertical="center"/>
    </xf>
    <xf numFmtId="0" fontId="32" fillId="11" borderId="0" xfId="0" applyFont="1" applyFill="1" applyAlignment="1">
      <alignment horizontal="center" vertical="center"/>
    </xf>
    <xf numFmtId="2" fontId="0" fillId="0" borderId="48" xfId="0" applyNumberFormat="1" applyBorder="1"/>
    <xf numFmtId="0" fontId="71" fillId="0" borderId="48" xfId="0" applyFont="1" applyBorder="1"/>
    <xf numFmtId="0" fontId="31" fillId="0" borderId="48" xfId="0" applyFont="1" applyBorder="1" applyProtection="1">
      <protection locked="0"/>
    </xf>
    <xf numFmtId="2" fontId="39" fillId="0" borderId="48" xfId="0" applyNumberFormat="1" applyFont="1" applyBorder="1" applyAlignment="1">
      <alignment horizontal="left"/>
    </xf>
    <xf numFmtId="0" fontId="39" fillId="0" borderId="48" xfId="0" applyFont="1" applyBorder="1" applyAlignment="1">
      <alignment horizontal="right"/>
    </xf>
    <xf numFmtId="0" fontId="39" fillId="11" borderId="48" xfId="0" applyFont="1" applyFill="1" applyBorder="1" applyAlignment="1">
      <alignment horizontal="right"/>
    </xf>
    <xf numFmtId="49" fontId="39" fillId="11" borderId="48" xfId="0" applyNumberFormat="1" applyFont="1" applyFill="1" applyBorder="1" applyAlignment="1">
      <alignment horizontal="left"/>
    </xf>
    <xf numFmtId="2" fontId="39" fillId="11" borderId="48" xfId="0" applyNumberFormat="1" applyFont="1" applyFill="1" applyBorder="1" applyAlignment="1">
      <alignment horizontal="left"/>
    </xf>
    <xf numFmtId="49" fontId="39" fillId="20" borderId="48" xfId="0" applyNumberFormat="1" applyFont="1" applyFill="1" applyBorder="1" applyAlignment="1">
      <alignment horizontal="left"/>
    </xf>
    <xf numFmtId="0" fontId="72" fillId="0" borderId="48" xfId="0" applyFont="1" applyBorder="1"/>
    <xf numFmtId="0" fontId="72" fillId="20" borderId="48" xfId="0" applyFont="1" applyFill="1" applyBorder="1"/>
    <xf numFmtId="0" fontId="73" fillId="0" borderId="48" xfId="0" applyFont="1" applyBorder="1"/>
    <xf numFmtId="2" fontId="72" fillId="0" borderId="48" xfId="0" applyNumberFormat="1" applyFont="1" applyBorder="1" applyAlignment="1">
      <alignment horizontal="left"/>
    </xf>
    <xf numFmtId="0" fontId="39" fillId="26" borderId="48" xfId="0" applyFont="1" applyFill="1" applyBorder="1"/>
    <xf numFmtId="0" fontId="73" fillId="26" borderId="48" xfId="0" applyFont="1" applyFill="1" applyBorder="1"/>
    <xf numFmtId="2" fontId="31" fillId="26" borderId="48" xfId="0" applyNumberFormat="1" applyFont="1" applyFill="1" applyBorder="1" applyAlignment="1">
      <alignment horizontal="left"/>
    </xf>
    <xf numFmtId="0" fontId="31" fillId="20" borderId="48" xfId="0" applyFont="1" applyFill="1" applyBorder="1"/>
    <xf numFmtId="2" fontId="54" fillId="0" borderId="48" xfId="0" applyNumberFormat="1" applyFont="1" applyBorder="1" applyAlignment="1" applyProtection="1">
      <alignment horizontal="left"/>
      <protection locked="0"/>
    </xf>
    <xf numFmtId="0" fontId="25" fillId="0" borderId="48" xfId="0" applyFont="1" applyBorder="1"/>
    <xf numFmtId="2" fontId="81" fillId="0" borderId="48" xfId="0" applyNumberFormat="1" applyFont="1" applyBorder="1" applyAlignment="1">
      <alignment horizontal="center"/>
    </xf>
    <xf numFmtId="0" fontId="25" fillId="20" borderId="48" xfId="0" applyFont="1" applyFill="1" applyBorder="1"/>
    <xf numFmtId="10" fontId="39" fillId="0" borderId="48" xfId="3" applyNumberFormat="1" applyFont="1" applyBorder="1" applyProtection="1"/>
    <xf numFmtId="9" fontId="39" fillId="0" borderId="48" xfId="0" applyNumberFormat="1" applyFont="1" applyBorder="1"/>
    <xf numFmtId="2" fontId="39" fillId="0" borderId="48" xfId="0" applyNumberFormat="1" applyFont="1" applyBorder="1" applyAlignment="1">
      <alignment horizontal="right"/>
    </xf>
    <xf numFmtId="9" fontId="39" fillId="20" borderId="48" xfId="0" applyNumberFormat="1" applyFont="1" applyFill="1" applyBorder="1"/>
    <xf numFmtId="9" fontId="39" fillId="0" borderId="48" xfId="3" applyFont="1" applyFill="1" applyBorder="1" applyProtection="1"/>
    <xf numFmtId="10" fontId="74" fillId="0" borderId="48" xfId="3" applyNumberFormat="1" applyFont="1" applyFill="1" applyBorder="1" applyProtection="1">
      <protection locked="0"/>
    </xf>
    <xf numFmtId="167" fontId="39" fillId="0" borderId="48" xfId="3" applyNumberFormat="1" applyFont="1" applyFill="1" applyBorder="1" applyProtection="1"/>
    <xf numFmtId="2" fontId="54" fillId="0" borderId="48" xfId="0" applyNumberFormat="1" applyFont="1" applyBorder="1" applyAlignment="1" applyProtection="1">
      <alignment horizontal="right"/>
      <protection locked="0"/>
    </xf>
    <xf numFmtId="0" fontId="14" fillId="0" borderId="48" xfId="0" applyFont="1" applyBorder="1"/>
    <xf numFmtId="2" fontId="14" fillId="0" borderId="48" xfId="0" applyNumberFormat="1" applyFont="1" applyBorder="1" applyAlignment="1">
      <alignment horizontal="center"/>
    </xf>
    <xf numFmtId="0" fontId="14" fillId="20" borderId="48" xfId="0" applyFont="1" applyFill="1" applyBorder="1"/>
    <xf numFmtId="2" fontId="14" fillId="0" borderId="48" xfId="0" applyNumberFormat="1" applyFont="1" applyBorder="1" applyAlignment="1">
      <alignment horizontal="left"/>
    </xf>
    <xf numFmtId="167" fontId="14" fillId="0" borderId="48" xfId="0" applyNumberFormat="1" applyFont="1" applyBorder="1"/>
    <xf numFmtId="4" fontId="82" fillId="0" borderId="48" xfId="0" applyNumberFormat="1" applyFont="1" applyBorder="1" applyAlignment="1">
      <alignment horizontal="center"/>
    </xf>
    <xf numFmtId="4" fontId="83" fillId="20" borderId="48" xfId="0" applyNumberFormat="1" applyFont="1" applyFill="1" applyBorder="1"/>
    <xf numFmtId="4" fontId="51" fillId="0" borderId="48" xfId="0" applyNumberFormat="1" applyFont="1" applyBorder="1" applyAlignment="1" applyProtection="1">
      <alignment horizontal="right"/>
      <protection locked="0"/>
    </xf>
    <xf numFmtId="167" fontId="14" fillId="0" borderId="48" xfId="0" applyNumberFormat="1" applyFont="1" applyBorder="1" applyProtection="1">
      <protection locked="0"/>
    </xf>
    <xf numFmtId="4" fontId="77" fillId="0" borderId="48" xfId="0" applyNumberFormat="1" applyFont="1" applyBorder="1" applyAlignment="1" applyProtection="1">
      <alignment horizontal="center"/>
      <protection locked="0"/>
    </xf>
    <xf numFmtId="2" fontId="51" fillId="0" borderId="48" xfId="0" applyNumberFormat="1" applyFont="1" applyBorder="1" applyAlignment="1" applyProtection="1">
      <alignment horizontal="center"/>
      <protection locked="0"/>
    </xf>
    <xf numFmtId="167" fontId="14" fillId="20" borderId="48" xfId="0" applyNumberFormat="1" applyFont="1" applyFill="1" applyBorder="1" applyProtection="1">
      <protection locked="0"/>
    </xf>
    <xf numFmtId="0" fontId="39" fillId="0" borderId="48" xfId="0" applyFont="1" applyBorder="1" applyProtection="1">
      <protection locked="0"/>
    </xf>
    <xf numFmtId="0" fontId="34" fillId="27" borderId="48" xfId="0" applyFont="1" applyFill="1" applyBorder="1"/>
    <xf numFmtId="4" fontId="35" fillId="27" borderId="48" xfId="0" applyNumberFormat="1" applyFont="1" applyFill="1" applyBorder="1"/>
    <xf numFmtId="0" fontId="35" fillId="20" borderId="48" xfId="0" applyFont="1" applyFill="1" applyBorder="1"/>
    <xf numFmtId="10" fontId="39" fillId="0" borderId="48" xfId="3" applyNumberFormat="1" applyFont="1" applyFill="1" applyBorder="1" applyProtection="1"/>
    <xf numFmtId="10" fontId="35" fillId="27" borderId="48" xfId="3" applyNumberFormat="1" applyFont="1" applyFill="1" applyBorder="1" applyProtection="1"/>
    <xf numFmtId="4" fontId="35" fillId="28" borderId="48" xfId="0" applyNumberFormat="1" applyFont="1" applyFill="1" applyBorder="1"/>
    <xf numFmtId="10" fontId="35" fillId="28" borderId="48" xfId="3" applyNumberFormat="1" applyFont="1" applyFill="1" applyBorder="1" applyProtection="1"/>
    <xf numFmtId="4" fontId="35" fillId="29" borderId="48" xfId="0" applyNumberFormat="1" applyFont="1" applyFill="1" applyBorder="1"/>
    <xf numFmtId="4" fontId="35" fillId="20" borderId="48" xfId="0" applyNumberFormat="1" applyFont="1" applyFill="1" applyBorder="1"/>
    <xf numFmtId="10" fontId="35" fillId="29" borderId="48" xfId="3" applyNumberFormat="1" applyFont="1" applyFill="1" applyBorder="1" applyProtection="1"/>
    <xf numFmtId="0" fontId="34" fillId="0" borderId="48" xfId="0" applyFont="1" applyBorder="1"/>
    <xf numFmtId="10" fontId="34" fillId="0" borderId="48" xfId="3" applyNumberFormat="1" applyFont="1" applyFill="1" applyBorder="1" applyProtection="1"/>
    <xf numFmtId="4" fontId="34" fillId="20" borderId="48" xfId="0" applyNumberFormat="1" applyFont="1" applyFill="1" applyBorder="1"/>
    <xf numFmtId="0" fontId="0" fillId="0" borderId="48" xfId="0" applyBorder="1"/>
    <xf numFmtId="0" fontId="0" fillId="20" borderId="48" xfId="0" applyFill="1" applyBorder="1"/>
    <xf numFmtId="2" fontId="80" fillId="30" borderId="48" xfId="0" applyNumberFormat="1" applyFont="1" applyFill="1" applyBorder="1"/>
    <xf numFmtId="0" fontId="79" fillId="30" borderId="48" xfId="0" applyFont="1" applyFill="1" applyBorder="1" applyProtection="1">
      <protection locked="0"/>
    </xf>
    <xf numFmtId="2" fontId="80" fillId="20" borderId="48" xfId="0" applyNumberFormat="1" applyFont="1" applyFill="1" applyBorder="1"/>
    <xf numFmtId="2" fontId="39" fillId="0" borderId="48" xfId="0" applyNumberFormat="1" applyFont="1" applyBorder="1"/>
    <xf numFmtId="2" fontId="39" fillId="20" borderId="48" xfId="0" applyNumberFormat="1" applyFont="1" applyFill="1" applyBorder="1"/>
    <xf numFmtId="2" fontId="14" fillId="0" borderId="48" xfId="0" applyNumberFormat="1" applyFont="1" applyBorder="1"/>
    <xf numFmtId="2" fontId="14" fillId="20" borderId="48" xfId="0" applyNumberFormat="1" applyFont="1" applyFill="1" applyBorder="1"/>
    <xf numFmtId="2" fontId="77" fillId="0" borderId="48" xfId="0" applyNumberFormat="1" applyFont="1" applyBorder="1" applyAlignment="1">
      <alignment horizontal="center"/>
    </xf>
    <xf numFmtId="167" fontId="14" fillId="20" borderId="48" xfId="0" applyNumberFormat="1" applyFont="1" applyFill="1" applyBorder="1"/>
    <xf numFmtId="0" fontId="0" fillId="20" borderId="3" xfId="0" applyFill="1" applyBorder="1"/>
    <xf numFmtId="0" fontId="39" fillId="20" borderId="3" xfId="0" applyFont="1" applyFill="1" applyBorder="1"/>
    <xf numFmtId="0" fontId="62" fillId="31" borderId="0" xfId="0" applyFont="1" applyFill="1"/>
    <xf numFmtId="0" fontId="62" fillId="31" borderId="3" xfId="0" applyFont="1" applyFill="1" applyBorder="1"/>
    <xf numFmtId="0" fontId="39" fillId="20" borderId="0" xfId="0" applyFont="1" applyFill="1"/>
    <xf numFmtId="0" fontId="31" fillId="0" borderId="2" xfId="0" applyFont="1" applyBorder="1" applyProtection="1">
      <protection locked="0"/>
    </xf>
    <xf numFmtId="170" fontId="74" fillId="0" borderId="75" xfId="0" applyNumberFormat="1" applyFont="1" applyBorder="1" applyProtection="1">
      <protection locked="0"/>
    </xf>
    <xf numFmtId="0" fontId="0" fillId="0" borderId="76" xfId="0" applyBorder="1" applyProtection="1">
      <protection locked="0"/>
    </xf>
    <xf numFmtId="10" fontId="45" fillId="0" borderId="75" xfId="0" applyNumberFormat="1" applyFont="1" applyBorder="1" applyProtection="1">
      <protection locked="0"/>
    </xf>
    <xf numFmtId="0" fontId="39" fillId="0" borderId="49" xfId="0" applyFont="1" applyBorder="1"/>
    <xf numFmtId="0" fontId="54" fillId="0" borderId="77" xfId="0" applyFont="1" applyBorder="1" applyAlignment="1" applyProtection="1">
      <alignment horizontal="center"/>
      <protection locked="0"/>
    </xf>
    <xf numFmtId="0" fontId="39" fillId="0" borderId="49" xfId="0" applyFont="1" applyBorder="1" applyProtection="1">
      <protection locked="0"/>
    </xf>
    <xf numFmtId="0" fontId="54" fillId="20" borderId="0" xfId="0" applyFont="1" applyFill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/>
      <protection locked="0"/>
    </xf>
    <xf numFmtId="0" fontId="14" fillId="0" borderId="49" xfId="0" applyFont="1" applyBorder="1" applyProtection="1">
      <protection locked="0"/>
    </xf>
    <xf numFmtId="9" fontId="54" fillId="20" borderId="0" xfId="0" applyNumberFormat="1" applyFont="1" applyFill="1" applyAlignment="1" applyProtection="1">
      <alignment horizontal="center"/>
      <protection locked="0"/>
    </xf>
    <xf numFmtId="0" fontId="14" fillId="0" borderId="49" xfId="0" applyFont="1" applyBorder="1"/>
    <xf numFmtId="17" fontId="45" fillId="0" borderId="0" xfId="0" applyNumberFormat="1" applyFont="1" applyProtection="1">
      <protection locked="0"/>
    </xf>
    <xf numFmtId="170" fontId="45" fillId="0" borderId="0" xfId="0" applyNumberFormat="1" applyFont="1" applyProtection="1">
      <protection locked="0"/>
    </xf>
    <xf numFmtId="167" fontId="45" fillId="0" borderId="0" xfId="3" applyNumberFormat="1" applyFont="1" applyFill="1" applyBorder="1" applyAlignment="1" applyProtection="1">
      <alignment horizontal="center"/>
      <protection locked="0"/>
    </xf>
    <xf numFmtId="9" fontId="84" fillId="24" borderId="27" xfId="3" applyFont="1" applyFill="1" applyBorder="1" applyProtection="1">
      <protection locked="0"/>
    </xf>
    <xf numFmtId="9" fontId="54" fillId="24" borderId="26" xfId="0" applyNumberFormat="1" applyFont="1" applyFill="1" applyBorder="1" applyProtection="1">
      <protection locked="0"/>
    </xf>
    <xf numFmtId="9" fontId="54" fillId="20" borderId="0" xfId="0" applyNumberFormat="1" applyFont="1" applyFill="1" applyProtection="1">
      <protection locked="0"/>
    </xf>
    <xf numFmtId="0" fontId="85" fillId="24" borderId="0" xfId="0" applyFont="1" applyFill="1" applyProtection="1">
      <protection locked="0"/>
    </xf>
    <xf numFmtId="9" fontId="66" fillId="24" borderId="3" xfId="3" applyFont="1" applyFill="1" applyBorder="1" applyProtection="1">
      <protection locked="0"/>
    </xf>
    <xf numFmtId="9" fontId="84" fillId="24" borderId="0" xfId="3" applyFont="1" applyFill="1" applyBorder="1" applyProtection="1">
      <protection locked="0"/>
    </xf>
    <xf numFmtId="9" fontId="54" fillId="24" borderId="3" xfId="0" applyNumberFormat="1" applyFont="1" applyFill="1" applyBorder="1" applyProtection="1">
      <protection locked="0"/>
    </xf>
    <xf numFmtId="3" fontId="45" fillId="0" borderId="49" xfId="0" applyNumberFormat="1" applyFont="1" applyBorder="1" applyAlignment="1" applyProtection="1">
      <alignment horizontal="center"/>
      <protection locked="0"/>
    </xf>
    <xf numFmtId="9" fontId="54" fillId="20" borderId="0" xfId="3" applyFont="1" applyFill="1" applyBorder="1" applyProtection="1">
      <protection locked="0"/>
    </xf>
    <xf numFmtId="0" fontId="86" fillId="24" borderId="0" xfId="0" applyFont="1" applyFill="1" applyProtection="1">
      <protection locked="0"/>
    </xf>
    <xf numFmtId="9" fontId="54" fillId="24" borderId="0" xfId="3" applyFont="1" applyFill="1" applyBorder="1" applyProtection="1">
      <protection locked="0"/>
    </xf>
    <xf numFmtId="17" fontId="70" fillId="32" borderId="0" xfId="3" applyNumberFormat="1" applyFont="1" applyFill="1" applyBorder="1" applyAlignment="1" applyProtection="1">
      <alignment horizontal="center"/>
    </xf>
    <xf numFmtId="0" fontId="68" fillId="11" borderId="78" xfId="0" applyFont="1" applyFill="1" applyBorder="1" applyAlignment="1">
      <alignment horizontal="center" vertical="center"/>
    </xf>
    <xf numFmtId="165" fontId="69" fillId="0" borderId="79" xfId="0" applyNumberFormat="1" applyFont="1" applyBorder="1" applyAlignment="1">
      <alignment horizontal="center" vertical="center"/>
    </xf>
    <xf numFmtId="0" fontId="39" fillId="0" borderId="4" xfId="0" applyFont="1" applyBorder="1"/>
    <xf numFmtId="1" fontId="14" fillId="20" borderId="0" xfId="0" applyNumberFormat="1" applyFont="1" applyFill="1"/>
    <xf numFmtId="0" fontId="31" fillId="0" borderId="3" xfId="0" applyFont="1" applyBorder="1"/>
    <xf numFmtId="0" fontId="0" fillId="0" borderId="3" xfId="0" applyBorder="1" applyProtection="1">
      <protection locked="0"/>
    </xf>
    <xf numFmtId="0" fontId="0" fillId="0" borderId="49" xfId="0" applyBorder="1"/>
    <xf numFmtId="0" fontId="0" fillId="20" borderId="0" xfId="0" applyFill="1" applyProtection="1">
      <protection locked="0"/>
    </xf>
    <xf numFmtId="2" fontId="39" fillId="0" borderId="80" xfId="0" applyNumberFormat="1" applyFont="1" applyBorder="1" applyAlignment="1">
      <alignment horizontal="left"/>
    </xf>
    <xf numFmtId="2" fontId="39" fillId="0" borderId="81" xfId="0" applyNumberFormat="1" applyFont="1" applyBorder="1" applyAlignment="1">
      <alignment horizontal="left"/>
    </xf>
    <xf numFmtId="0" fontId="39" fillId="20" borderId="82" xfId="0" applyFont="1" applyFill="1" applyBorder="1"/>
    <xf numFmtId="0" fontId="39" fillId="0" borderId="1" xfId="0" applyFont="1" applyBorder="1" applyAlignment="1">
      <alignment horizontal="left"/>
    </xf>
    <xf numFmtId="2" fontId="39" fillId="0" borderId="9" xfId="0" applyNumberFormat="1" applyFont="1" applyBorder="1" applyAlignment="1">
      <alignment horizontal="left"/>
    </xf>
    <xf numFmtId="0" fontId="39" fillId="20" borderId="9" xfId="0" applyFont="1" applyFill="1" applyBorder="1" applyAlignment="1">
      <alignment horizontal="left"/>
    </xf>
    <xf numFmtId="0" fontId="73" fillId="0" borderId="1" xfId="0" applyFont="1" applyBorder="1"/>
    <xf numFmtId="0" fontId="73" fillId="20" borderId="9" xfId="0" applyFont="1" applyFill="1" applyBorder="1"/>
    <xf numFmtId="2" fontId="54" fillId="0" borderId="83" xfId="0" applyNumberFormat="1" applyFont="1" applyBorder="1" applyAlignment="1" applyProtection="1">
      <alignment horizontal="left"/>
      <protection locked="0"/>
    </xf>
    <xf numFmtId="0" fontId="39" fillId="20" borderId="30" xfId="0" applyFont="1" applyFill="1" applyBorder="1"/>
    <xf numFmtId="0" fontId="2" fillId="0" borderId="1" xfId="0" applyFont="1" applyBorder="1"/>
    <xf numFmtId="0" fontId="71" fillId="0" borderId="1" xfId="0" applyFont="1" applyBorder="1" applyProtection="1">
      <protection locked="0"/>
    </xf>
    <xf numFmtId="0" fontId="31" fillId="26" borderId="48" xfId="0" applyFont="1" applyFill="1" applyBorder="1" applyAlignment="1" applyProtection="1">
      <alignment horizontal="center"/>
      <protection locked="0"/>
    </xf>
    <xf numFmtId="4" fontId="14" fillId="0" borderId="1" xfId="0" applyNumberFormat="1" applyFont="1" applyBorder="1"/>
    <xf numFmtId="4" fontId="25" fillId="20" borderId="1" xfId="0" applyNumberFormat="1" applyFont="1" applyFill="1" applyBorder="1"/>
    <xf numFmtId="9" fontId="39" fillId="0" borderId="43" xfId="0" applyNumberFormat="1" applyFont="1" applyBorder="1"/>
    <xf numFmtId="2" fontId="39" fillId="0" borderId="84" xfId="0" applyNumberFormat="1" applyFont="1" applyBorder="1" applyAlignment="1">
      <alignment horizontal="right"/>
    </xf>
    <xf numFmtId="9" fontId="39" fillId="0" borderId="1" xfId="3" applyFont="1" applyFill="1" applyBorder="1" applyProtection="1"/>
    <xf numFmtId="2" fontId="39" fillId="0" borderId="81" xfId="0" applyNumberFormat="1" applyFont="1" applyBorder="1" applyAlignment="1">
      <alignment horizontal="right"/>
    </xf>
    <xf numFmtId="10" fontId="74" fillId="0" borderId="1" xfId="3" applyNumberFormat="1" applyFont="1" applyFill="1" applyBorder="1" applyProtection="1">
      <protection locked="0"/>
    </xf>
    <xf numFmtId="167" fontId="39" fillId="0" borderId="1" xfId="3" applyNumberFormat="1" applyFont="1" applyFill="1" applyBorder="1" applyProtection="1"/>
    <xf numFmtId="0" fontId="39" fillId="0" borderId="2" xfId="0" applyFont="1" applyBorder="1"/>
    <xf numFmtId="0" fontId="39" fillId="0" borderId="76" xfId="0" applyFont="1" applyBorder="1"/>
    <xf numFmtId="0" fontId="39" fillId="0" borderId="6" xfId="0" applyFont="1" applyBorder="1"/>
    <xf numFmtId="171" fontId="54" fillId="0" borderId="83" xfId="2" applyNumberFormat="1" applyFont="1" applyBorder="1" applyAlignment="1" applyProtection="1">
      <alignment horizontal="right"/>
      <protection locked="0"/>
    </xf>
    <xf numFmtId="0" fontId="14" fillId="0" borderId="5" xfId="0" applyFont="1" applyBorder="1"/>
    <xf numFmtId="0" fontId="14" fillId="0" borderId="31" xfId="0" applyFont="1" applyBorder="1"/>
    <xf numFmtId="2" fontId="14" fillId="0" borderId="51" xfId="0" applyNumberFormat="1" applyFont="1" applyBorder="1" applyAlignment="1">
      <alignment horizontal="right"/>
    </xf>
    <xf numFmtId="0" fontId="14" fillId="20" borderId="4" xfId="0" applyFont="1" applyFill="1" applyBorder="1"/>
    <xf numFmtId="0" fontId="39" fillId="0" borderId="3" xfId="0" applyFont="1" applyBorder="1" applyProtection="1">
      <protection locked="0"/>
    </xf>
    <xf numFmtId="167" fontId="70" fillId="0" borderId="20" xfId="0" applyNumberFormat="1" applyFont="1" applyBorder="1"/>
    <xf numFmtId="4" fontId="75" fillId="0" borderId="51" xfId="0" applyNumberFormat="1" applyFont="1" applyBorder="1" applyAlignment="1">
      <alignment horizontal="right"/>
    </xf>
    <xf numFmtId="167" fontId="14" fillId="0" borderId="1" xfId="0" applyNumberFormat="1" applyFont="1" applyBorder="1" applyProtection="1">
      <protection locked="0"/>
    </xf>
    <xf numFmtId="4" fontId="87" fillId="0" borderId="51" xfId="0" applyNumberFormat="1" applyFont="1" applyBorder="1" applyAlignment="1">
      <alignment horizontal="right"/>
    </xf>
    <xf numFmtId="167" fontId="71" fillId="0" borderId="1" xfId="0" applyNumberFormat="1" applyFont="1" applyBorder="1" applyProtection="1">
      <protection locked="0"/>
    </xf>
    <xf numFmtId="167" fontId="14" fillId="0" borderId="3" xfId="0" applyNumberFormat="1" applyFont="1" applyBorder="1"/>
    <xf numFmtId="4" fontId="77" fillId="0" borderId="49" xfId="0" applyNumberFormat="1" applyFont="1" applyBorder="1" applyAlignment="1" applyProtection="1">
      <alignment horizontal="right"/>
      <protection locked="0"/>
    </xf>
    <xf numFmtId="4" fontId="70" fillId="20" borderId="0" xfId="0" applyNumberFormat="1" applyFont="1" applyFill="1"/>
    <xf numFmtId="0" fontId="34" fillId="33" borderId="48" xfId="0" applyFont="1" applyFill="1" applyBorder="1"/>
    <xf numFmtId="4" fontId="35" fillId="33" borderId="56" xfId="0" applyNumberFormat="1" applyFont="1" applyFill="1" applyBorder="1"/>
    <xf numFmtId="167" fontId="35" fillId="33" borderId="59" xfId="3" applyNumberFormat="1" applyFont="1" applyFill="1" applyBorder="1" applyProtection="1"/>
    <xf numFmtId="10" fontId="35" fillId="0" borderId="49" xfId="3" applyNumberFormat="1" applyFont="1" applyFill="1" applyBorder="1" applyProtection="1"/>
    <xf numFmtId="4" fontId="35" fillId="29" borderId="56" xfId="0" applyNumberFormat="1" applyFont="1" applyFill="1" applyBorder="1"/>
    <xf numFmtId="167" fontId="35" fillId="29" borderId="56" xfId="3" applyNumberFormat="1" applyFont="1" applyFill="1" applyBorder="1" applyProtection="1"/>
    <xf numFmtId="2" fontId="80" fillId="30" borderId="1" xfId="0" applyNumberFormat="1" applyFont="1" applyFill="1" applyBorder="1"/>
    <xf numFmtId="0" fontId="79" fillId="30" borderId="1" xfId="0" applyFont="1" applyFill="1" applyBorder="1"/>
    <xf numFmtId="2" fontId="80" fillId="20" borderId="1" xfId="0" applyNumberFormat="1" applyFont="1" applyFill="1" applyBorder="1"/>
    <xf numFmtId="2" fontId="39" fillId="0" borderId="1" xfId="0" applyNumberFormat="1" applyFont="1" applyBorder="1"/>
    <xf numFmtId="2" fontId="39" fillId="20" borderId="1" xfId="0" applyNumberFormat="1" applyFont="1" applyFill="1" applyBorder="1"/>
    <xf numFmtId="2" fontId="14" fillId="0" borderId="1" xfId="0" applyNumberFormat="1" applyFont="1" applyBorder="1"/>
    <xf numFmtId="2" fontId="14" fillId="20" borderId="1" xfId="0" applyNumberFormat="1" applyFont="1" applyFill="1" applyBorder="1"/>
    <xf numFmtId="2" fontId="39" fillId="0" borderId="1" xfId="0" applyNumberFormat="1" applyFont="1" applyBorder="1" applyProtection="1">
      <protection locked="0"/>
    </xf>
    <xf numFmtId="10" fontId="39" fillId="0" borderId="28" xfId="3" applyNumberFormat="1" applyFont="1" applyBorder="1" applyProtection="1"/>
    <xf numFmtId="9" fontId="39" fillId="0" borderId="82" xfId="3" applyFont="1" applyFill="1" applyBorder="1" applyProtection="1"/>
    <xf numFmtId="10" fontId="74" fillId="0" borderId="82" xfId="3" applyNumberFormat="1" applyFont="1" applyFill="1" applyBorder="1" applyProtection="1">
      <protection locked="0"/>
    </xf>
    <xf numFmtId="167" fontId="39" fillId="0" borderId="82" xfId="3" applyNumberFormat="1" applyFont="1" applyFill="1" applyBorder="1" applyProtection="1"/>
    <xf numFmtId="0" fontId="14" fillId="20" borderId="1" xfId="0" applyFont="1" applyFill="1" applyBorder="1"/>
    <xf numFmtId="2" fontId="14" fillId="0" borderId="1" xfId="0" applyNumberFormat="1" applyFont="1" applyBorder="1" applyAlignment="1">
      <alignment horizontal="left"/>
    </xf>
    <xf numFmtId="167" fontId="14" fillId="0" borderId="1" xfId="0" applyNumberFormat="1" applyFont="1" applyBorder="1"/>
    <xf numFmtId="2" fontId="77" fillId="0" borderId="1" xfId="0" applyNumberFormat="1" applyFont="1" applyBorder="1" applyAlignment="1">
      <alignment horizontal="center"/>
    </xf>
    <xf numFmtId="167" fontId="14" fillId="20" borderId="1" xfId="0" applyNumberFormat="1" applyFont="1" applyFill="1" applyBorder="1"/>
    <xf numFmtId="165" fontId="69" fillId="0" borderId="48" xfId="0" applyNumberFormat="1" applyFont="1" applyBorder="1" applyAlignment="1">
      <alignment horizontal="center" vertical="center"/>
    </xf>
    <xf numFmtId="0" fontId="68" fillId="20" borderId="48" xfId="0" applyFont="1" applyFill="1" applyBorder="1" applyAlignment="1">
      <alignment horizontal="center" vertical="center"/>
    </xf>
    <xf numFmtId="1" fontId="14" fillId="0" borderId="48" xfId="0" applyNumberFormat="1" applyFont="1" applyBorder="1"/>
    <xf numFmtId="1" fontId="14" fillId="20" borderId="48" xfId="0" applyNumberFormat="1" applyFont="1" applyFill="1" applyBorder="1"/>
    <xf numFmtId="0" fontId="0" fillId="0" borderId="48" xfId="0" applyBorder="1" applyProtection="1">
      <protection locked="0"/>
    </xf>
    <xf numFmtId="0" fontId="31" fillId="0" borderId="48" xfId="0" applyFont="1" applyBorder="1"/>
    <xf numFmtId="0" fontId="0" fillId="20" borderId="48" xfId="0" applyFill="1" applyBorder="1" applyProtection="1">
      <protection locked="0"/>
    </xf>
    <xf numFmtId="0" fontId="39" fillId="0" borderId="48" xfId="0" applyFont="1" applyBorder="1" applyAlignment="1">
      <alignment horizontal="left"/>
    </xf>
    <xf numFmtId="0" fontId="39" fillId="20" borderId="48" xfId="0" applyFont="1" applyFill="1" applyBorder="1" applyAlignment="1">
      <alignment horizontal="left"/>
    </xf>
    <xf numFmtId="0" fontId="2" fillId="0" borderId="48" xfId="0" applyFont="1" applyBorder="1"/>
    <xf numFmtId="1" fontId="54" fillId="0" borderId="48" xfId="0" applyNumberFormat="1" applyFont="1" applyBorder="1" applyAlignment="1" applyProtection="1">
      <alignment horizontal="right"/>
      <protection locked="0"/>
    </xf>
    <xf numFmtId="10" fontId="54" fillId="0" borderId="48" xfId="3" applyNumberFormat="1" applyFont="1" applyBorder="1" applyAlignment="1" applyProtection="1">
      <alignment horizontal="right"/>
      <protection locked="0"/>
    </xf>
    <xf numFmtId="2" fontId="14" fillId="0" borderId="48" xfId="0" applyNumberFormat="1" applyFont="1" applyBorder="1" applyAlignment="1">
      <alignment horizontal="right"/>
    </xf>
    <xf numFmtId="4" fontId="77" fillId="0" borderId="48" xfId="0" applyNumberFormat="1" applyFont="1" applyBorder="1" applyAlignment="1">
      <alignment horizontal="right"/>
    </xf>
    <xf numFmtId="4" fontId="70" fillId="20" borderId="48" xfId="0" applyNumberFormat="1" applyFont="1" applyFill="1" applyBorder="1"/>
    <xf numFmtId="2" fontId="51" fillId="0" borderId="48" xfId="0" applyNumberFormat="1" applyFont="1" applyBorder="1" applyAlignment="1" applyProtection="1">
      <alignment horizontal="right"/>
      <protection locked="0"/>
    </xf>
    <xf numFmtId="172" fontId="35" fillId="27" borderId="48" xfId="3" applyNumberFormat="1" applyFont="1" applyFill="1" applyBorder="1" applyProtection="1"/>
    <xf numFmtId="0" fontId="41" fillId="0" borderId="48" xfId="0" applyFont="1" applyBorder="1"/>
    <xf numFmtId="0" fontId="41" fillId="20" borderId="48" xfId="0" applyFont="1" applyFill="1" applyBorder="1"/>
    <xf numFmtId="167" fontId="35" fillId="29" borderId="48" xfId="3" applyNumberFormat="1" applyFont="1" applyFill="1" applyBorder="1" applyProtection="1"/>
    <xf numFmtId="0" fontId="79" fillId="30" borderId="48" xfId="0" applyFont="1" applyFill="1" applyBorder="1"/>
    <xf numFmtId="0" fontId="0" fillId="31" borderId="0" xfId="0" applyFill="1"/>
    <xf numFmtId="0" fontId="39" fillId="31" borderId="0" xfId="0" applyFont="1" applyFill="1"/>
    <xf numFmtId="0" fontId="39" fillId="31" borderId="3" xfId="0" applyFont="1" applyFill="1" applyBorder="1"/>
    <xf numFmtId="0" fontId="41" fillId="0" borderId="1" xfId="0" applyFont="1" applyBorder="1" applyAlignment="1" applyProtection="1">
      <alignment horizontal="right"/>
      <protection locked="0"/>
    </xf>
    <xf numFmtId="170" fontId="74" fillId="0" borderId="1" xfId="0" applyNumberFormat="1" applyFont="1" applyBorder="1" applyProtection="1">
      <protection locked="0"/>
    </xf>
    <xf numFmtId="9" fontId="54" fillId="0" borderId="29" xfId="3" applyFont="1" applyBorder="1" applyAlignment="1" applyProtection="1">
      <alignment horizontal="center"/>
      <protection locked="0"/>
    </xf>
    <xf numFmtId="9" fontId="54" fillId="0" borderId="0" xfId="3" applyFont="1" applyBorder="1" applyAlignment="1" applyProtection="1">
      <alignment horizontal="center"/>
      <protection locked="0"/>
    </xf>
    <xf numFmtId="0" fontId="84" fillId="24" borderId="27" xfId="0" applyFont="1" applyFill="1" applyBorder="1" applyProtection="1">
      <protection locked="0"/>
    </xf>
    <xf numFmtId="2" fontId="14" fillId="0" borderId="31" xfId="0" applyNumberFormat="1" applyFont="1" applyBorder="1"/>
    <xf numFmtId="0" fontId="88" fillId="20" borderId="0" xfId="0" applyFont="1" applyFill="1"/>
    <xf numFmtId="2" fontId="39" fillId="0" borderId="1" xfId="0" applyNumberFormat="1" applyFont="1" applyBorder="1" applyAlignment="1">
      <alignment horizontal="left"/>
    </xf>
    <xf numFmtId="2" fontId="54" fillId="0" borderId="50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2" fontId="14" fillId="0" borderId="5" xfId="0" applyNumberFormat="1" applyFont="1" applyBorder="1"/>
    <xf numFmtId="0" fontId="25" fillId="20" borderId="0" xfId="0" applyFont="1" applyFill="1"/>
    <xf numFmtId="10" fontId="39" fillId="0" borderId="85" xfId="3" applyNumberFormat="1" applyFont="1" applyBorder="1" applyProtection="1"/>
    <xf numFmtId="9" fontId="39" fillId="0" borderId="44" xfId="0" applyNumberFormat="1" applyFont="1" applyBorder="1"/>
    <xf numFmtId="2" fontId="39" fillId="0" borderId="86" xfId="0" applyNumberFormat="1" applyFont="1" applyBorder="1" applyAlignment="1">
      <alignment horizontal="right"/>
    </xf>
    <xf numFmtId="9" fontId="39" fillId="20" borderId="42" xfId="0" applyNumberFormat="1" applyFont="1" applyFill="1" applyBorder="1"/>
    <xf numFmtId="0" fontId="39" fillId="0" borderId="30" xfId="0" applyFont="1" applyBorder="1"/>
    <xf numFmtId="0" fontId="39" fillId="0" borderId="83" xfId="0" applyFont="1" applyBorder="1"/>
    <xf numFmtId="0" fontId="89" fillId="0" borderId="87" xfId="0" applyFont="1" applyBorder="1"/>
    <xf numFmtId="171" fontId="54" fillId="0" borderId="50" xfId="2" applyNumberFormat="1" applyFont="1" applyBorder="1" applyAlignment="1" applyProtection="1">
      <alignment horizontal="right"/>
      <protection locked="0"/>
    </xf>
    <xf numFmtId="2" fontId="14" fillId="0" borderId="1" xfId="0" applyNumberFormat="1" applyFont="1" applyBorder="1" applyAlignment="1">
      <alignment horizontal="right"/>
    </xf>
    <xf numFmtId="0" fontId="39" fillId="0" borderId="1" xfId="0" applyFont="1" applyBorder="1" applyProtection="1">
      <protection locked="0"/>
    </xf>
    <xf numFmtId="167" fontId="70" fillId="0" borderId="31" xfId="0" applyNumberFormat="1" applyFont="1" applyBorder="1"/>
    <xf numFmtId="4" fontId="75" fillId="0" borderId="88" xfId="0" applyNumberFormat="1" applyFont="1" applyBorder="1" applyAlignment="1">
      <alignment horizontal="right"/>
    </xf>
    <xf numFmtId="4" fontId="76" fillId="20" borderId="4" xfId="0" applyNumberFormat="1" applyFont="1" applyFill="1" applyBorder="1"/>
    <xf numFmtId="167" fontId="59" fillId="0" borderId="89" xfId="0" applyNumberFormat="1" applyFont="1" applyBorder="1" applyProtection="1">
      <protection locked="0"/>
    </xf>
    <xf numFmtId="4" fontId="59" fillId="0" borderId="89" xfId="0" applyNumberFormat="1" applyFont="1" applyBorder="1" applyProtection="1">
      <protection locked="0"/>
    </xf>
    <xf numFmtId="167" fontId="59" fillId="20" borderId="89" xfId="0" applyNumberFormat="1" applyFont="1" applyFill="1" applyBorder="1" applyProtection="1">
      <protection locked="0"/>
    </xf>
    <xf numFmtId="167" fontId="17" fillId="0" borderId="89" xfId="0" applyNumberFormat="1" applyFont="1" applyBorder="1" applyProtection="1">
      <protection locked="0"/>
    </xf>
    <xf numFmtId="4" fontId="76" fillId="0" borderId="89" xfId="0" applyNumberFormat="1" applyFont="1" applyBorder="1" applyProtection="1">
      <protection locked="0"/>
    </xf>
    <xf numFmtId="167" fontId="76" fillId="20" borderId="89" xfId="0" applyNumberFormat="1" applyFont="1" applyFill="1" applyBorder="1" applyProtection="1">
      <protection locked="0"/>
    </xf>
    <xf numFmtId="167" fontId="14" fillId="0" borderId="0" xfId="0" applyNumberFormat="1" applyFont="1" applyProtection="1">
      <protection locked="0"/>
    </xf>
    <xf numFmtId="167" fontId="14" fillId="20" borderId="0" xfId="0" applyNumberFormat="1" applyFont="1" applyFill="1" applyProtection="1">
      <protection locked="0"/>
    </xf>
    <xf numFmtId="4" fontId="35" fillId="27" borderId="56" xfId="0" applyNumberFormat="1" applyFont="1" applyFill="1" applyBorder="1"/>
    <xf numFmtId="4" fontId="35" fillId="20" borderId="57" xfId="0" applyNumberFormat="1" applyFont="1" applyFill="1" applyBorder="1"/>
    <xf numFmtId="10" fontId="35" fillId="27" borderId="59" xfId="3" applyNumberFormat="1" applyFont="1" applyFill="1" applyBorder="1" applyProtection="1"/>
    <xf numFmtId="4" fontId="35" fillId="20" borderId="60" xfId="0" applyNumberFormat="1" applyFont="1" applyFill="1" applyBorder="1"/>
    <xf numFmtId="0" fontId="34" fillId="0" borderId="0" xfId="0" applyFont="1"/>
    <xf numFmtId="0" fontId="35" fillId="20" borderId="57" xfId="0" applyFont="1" applyFill="1" applyBorder="1"/>
    <xf numFmtId="10" fontId="35" fillId="29" borderId="59" xfId="3" applyNumberFormat="1" applyFont="1" applyFill="1" applyBorder="1" applyProtection="1"/>
    <xf numFmtId="0" fontId="35" fillId="20" borderId="60" xfId="0" applyFont="1" applyFill="1" applyBorder="1"/>
    <xf numFmtId="10" fontId="34" fillId="0" borderId="0" xfId="3" applyNumberFormat="1" applyFont="1" applyFill="1" applyBorder="1" applyProtection="1"/>
    <xf numFmtId="2" fontId="80" fillId="30" borderId="63" xfId="0" applyNumberFormat="1" applyFont="1" applyFill="1" applyBorder="1"/>
    <xf numFmtId="2" fontId="39" fillId="0" borderId="0" xfId="0" applyNumberFormat="1" applyFont="1"/>
    <xf numFmtId="2" fontId="14" fillId="0" borderId="65" xfId="0" applyNumberFormat="1" applyFont="1" applyBorder="1" applyAlignment="1">
      <alignment horizontal="left"/>
    </xf>
    <xf numFmtId="2" fontId="77" fillId="0" borderId="73" xfId="0" applyNumberFormat="1" applyFont="1" applyBorder="1" applyAlignment="1">
      <alignment horizontal="center"/>
    </xf>
    <xf numFmtId="167" fontId="14" fillId="20" borderId="74" xfId="0" applyNumberFormat="1" applyFont="1" applyFill="1" applyBorder="1"/>
    <xf numFmtId="0" fontId="39" fillId="0" borderId="90" xfId="0" applyFont="1" applyBorder="1"/>
    <xf numFmtId="0" fontId="68" fillId="11" borderId="90" xfId="0" applyFont="1" applyFill="1" applyBorder="1" applyAlignment="1">
      <alignment horizontal="center" vertical="center"/>
    </xf>
    <xf numFmtId="165" fontId="69" fillId="0" borderId="90" xfId="0" applyNumberFormat="1" applyFont="1" applyBorder="1" applyAlignment="1">
      <alignment horizontal="center" vertical="center"/>
    </xf>
    <xf numFmtId="0" fontId="32" fillId="11" borderId="90" xfId="0" applyFont="1" applyFill="1" applyBorder="1" applyAlignment="1">
      <alignment horizontal="center" vertical="center"/>
    </xf>
    <xf numFmtId="0" fontId="88" fillId="0" borderId="0" xfId="0" applyFont="1"/>
    <xf numFmtId="10" fontId="15" fillId="6" borderId="0" xfId="3" applyNumberFormat="1" applyFont="1" applyFill="1" applyBorder="1" applyAlignment="1">
      <alignment horizontal="center"/>
    </xf>
    <xf numFmtId="0" fontId="0" fillId="0" borderId="91" xfId="0" applyBorder="1"/>
    <xf numFmtId="0" fontId="0" fillId="20" borderId="91" xfId="0" applyFill="1" applyBorder="1"/>
    <xf numFmtId="169" fontId="39" fillId="20" borderId="48" xfId="0" applyNumberFormat="1" applyFont="1" applyFill="1" applyBorder="1"/>
    <xf numFmtId="0" fontId="71" fillId="0" borderId="48" xfId="0" applyFont="1" applyBorder="1" applyProtection="1">
      <protection locked="0"/>
    </xf>
    <xf numFmtId="173" fontId="39" fillId="20" borderId="48" xfId="0" applyNumberFormat="1" applyFont="1" applyFill="1" applyBorder="1"/>
    <xf numFmtId="10" fontId="74" fillId="0" borderId="48" xfId="3" applyNumberFormat="1" applyFont="1" applyFill="1" applyBorder="1" applyProtection="1"/>
    <xf numFmtId="171" fontId="54" fillId="0" borderId="48" xfId="2" applyNumberFormat="1" applyFont="1" applyBorder="1" applyAlignment="1" applyProtection="1">
      <alignment horizontal="right"/>
      <protection locked="0"/>
    </xf>
    <xf numFmtId="2" fontId="90" fillId="0" borderId="48" xfId="0" applyNumberFormat="1" applyFont="1" applyBorder="1" applyAlignment="1">
      <alignment horizontal="right"/>
    </xf>
    <xf numFmtId="173" fontId="91" fillId="20" borderId="48" xfId="0" applyNumberFormat="1" applyFont="1" applyFill="1" applyBorder="1"/>
    <xf numFmtId="173" fontId="41" fillId="20" borderId="48" xfId="0" applyNumberFormat="1" applyFont="1" applyFill="1" applyBorder="1"/>
    <xf numFmtId="4" fontId="41" fillId="20" borderId="48" xfId="0" applyNumberFormat="1" applyFont="1" applyFill="1" applyBorder="1"/>
    <xf numFmtId="167" fontId="34" fillId="0" borderId="48" xfId="3" applyNumberFormat="1" applyFont="1" applyFill="1" applyBorder="1" applyProtection="1"/>
    <xf numFmtId="173" fontId="39" fillId="0" borderId="48" xfId="0" applyNumberFormat="1" applyFont="1" applyBorder="1"/>
    <xf numFmtId="167" fontId="34" fillId="29" borderId="48" xfId="3" applyNumberFormat="1" applyFont="1" applyFill="1" applyBorder="1" applyProtection="1"/>
    <xf numFmtId="0" fontId="59" fillId="11" borderId="0" xfId="0" applyFont="1" applyFill="1"/>
    <xf numFmtId="0" fontId="32" fillId="20" borderId="92" xfId="0" applyFont="1" applyFill="1" applyBorder="1"/>
    <xf numFmtId="0" fontId="32" fillId="14" borderId="93" xfId="0" applyFont="1" applyFill="1" applyBorder="1"/>
    <xf numFmtId="0" fontId="92" fillId="14" borderId="94" xfId="0" applyFont="1" applyFill="1" applyBorder="1"/>
    <xf numFmtId="0" fontId="92" fillId="14" borderId="0" xfId="0" applyFont="1" applyFill="1"/>
    <xf numFmtId="0" fontId="32" fillId="20" borderId="95" xfId="0" applyFont="1" applyFill="1" applyBorder="1"/>
    <xf numFmtId="0" fontId="32" fillId="14" borderId="0" xfId="0" applyFont="1" applyFill="1"/>
    <xf numFmtId="0" fontId="92" fillId="14" borderId="3" xfId="0" applyFont="1" applyFill="1" applyBorder="1"/>
    <xf numFmtId="0" fontId="93" fillId="20" borderId="95" xfId="4" applyFont="1" applyFill="1" applyBorder="1" applyAlignment="1" applyProtection="1"/>
    <xf numFmtId="0" fontId="94" fillId="20" borderId="96" xfId="4" applyFont="1" applyFill="1" applyBorder="1" applyAlignment="1" applyProtection="1"/>
    <xf numFmtId="0" fontId="95" fillId="14" borderId="97" xfId="0" applyFont="1" applyFill="1" applyBorder="1"/>
    <xf numFmtId="0" fontId="95" fillId="14" borderId="98" xfId="0" applyFont="1" applyFill="1" applyBorder="1"/>
    <xf numFmtId="0" fontId="95" fillId="14" borderId="0" xfId="0" applyFont="1" applyFill="1"/>
    <xf numFmtId="3" fontId="39" fillId="0" borderId="48" xfId="0" applyNumberFormat="1" applyFont="1" applyBorder="1" applyAlignment="1">
      <alignment horizontal="left"/>
    </xf>
    <xf numFmtId="0" fontId="73" fillId="20" borderId="0" xfId="0" applyFont="1" applyFill="1" applyBorder="1"/>
    <xf numFmtId="0" fontId="71" fillId="10" borderId="0" xfId="0" applyFont="1" applyFill="1" applyBorder="1" applyAlignment="1" applyProtection="1">
      <alignment horizontal="center"/>
      <protection locked="0"/>
    </xf>
    <xf numFmtId="0" fontId="35" fillId="10" borderId="0" xfId="0" applyFont="1" applyFill="1" applyBorder="1" applyAlignment="1">
      <alignment horizontal="right"/>
    </xf>
    <xf numFmtId="0" fontId="99" fillId="10" borderId="0" xfId="0" applyFont="1" applyFill="1" applyBorder="1"/>
    <xf numFmtId="4" fontId="35" fillId="10" borderId="0" xfId="0" applyNumberFormat="1" applyFont="1" applyFill="1" applyBorder="1" applyAlignment="1">
      <alignment horizontal="left"/>
    </xf>
    <xf numFmtId="0" fontId="31" fillId="20" borderId="0" xfId="0" applyFont="1" applyFill="1" applyBorder="1"/>
    <xf numFmtId="2" fontId="0" fillId="0" borderId="0" xfId="0" applyNumberFormat="1"/>
    <xf numFmtId="0" fontId="100" fillId="10" borderId="0" xfId="0" applyFont="1" applyFill="1"/>
    <xf numFmtId="9" fontId="35" fillId="10" borderId="0" xfId="3" applyFont="1" applyFill="1" applyBorder="1" applyProtection="1">
      <protection locked="0"/>
    </xf>
    <xf numFmtId="4" fontId="77" fillId="0" borderId="48" xfId="0" applyNumberFormat="1" applyFont="1" applyBorder="1" applyAlignment="1">
      <alignment horizontal="center"/>
    </xf>
    <xf numFmtId="4" fontId="14" fillId="20" borderId="48" xfId="0" applyNumberFormat="1" applyFont="1" applyFill="1" applyBorder="1"/>
    <xf numFmtId="0" fontId="14" fillId="0" borderId="49" xfId="0" applyFont="1" applyFill="1" applyBorder="1" applyProtection="1">
      <protection locked="0"/>
    </xf>
    <xf numFmtId="9" fontId="54" fillId="0" borderId="0" xfId="0" applyNumberFormat="1" applyFont="1" applyFill="1" applyProtection="1">
      <protection locked="0"/>
    </xf>
    <xf numFmtId="17" fontId="45" fillId="0" borderId="0" xfId="0" applyNumberFormat="1" applyFont="1" applyFill="1" applyProtection="1">
      <protection locked="0"/>
    </xf>
    <xf numFmtId="170" fontId="45" fillId="0" borderId="0" xfId="0" applyNumberFormat="1" applyFont="1" applyFill="1" applyProtection="1">
      <protection locked="0"/>
    </xf>
    <xf numFmtId="0" fontId="0" fillId="0" borderId="0" xfId="0" applyFill="1"/>
    <xf numFmtId="9" fontId="54" fillId="0" borderId="0" xfId="3" applyFont="1" applyFill="1" applyBorder="1" applyProtection="1">
      <protection locked="0"/>
    </xf>
    <xf numFmtId="0" fontId="14" fillId="0" borderId="49" xfId="0" applyFont="1" applyFill="1" applyBorder="1"/>
    <xf numFmtId="17" fontId="70" fillId="0" borderId="0" xfId="3" quotePrefix="1" applyNumberFormat="1" applyFont="1" applyFill="1" applyBorder="1" applyAlignment="1" applyProtection="1">
      <alignment horizontal="center"/>
    </xf>
    <xf numFmtId="17" fontId="70" fillId="0" borderId="0" xfId="3" applyNumberFormat="1" applyFont="1" applyFill="1" applyBorder="1" applyAlignment="1" applyProtection="1">
      <alignment horizontal="center"/>
    </xf>
    <xf numFmtId="9" fontId="31" fillId="0" borderId="9" xfId="3" applyFont="1" applyFill="1" applyBorder="1" applyProtection="1">
      <protection locked="0"/>
    </xf>
    <xf numFmtId="9" fontId="31" fillId="0" borderId="2" xfId="3" applyFont="1" applyFill="1" applyBorder="1" applyProtection="1">
      <protection locked="0"/>
    </xf>
    <xf numFmtId="2" fontId="76" fillId="35" borderId="0" xfId="0" applyNumberFormat="1" applyFont="1" applyFill="1" applyAlignment="1">
      <alignment vertical="center"/>
    </xf>
    <xf numFmtId="2" fontId="16" fillId="35" borderId="0" xfId="0" applyNumberFormat="1" applyFont="1" applyFill="1"/>
    <xf numFmtId="2" fontId="11" fillId="10" borderId="0" xfId="0" applyNumberFormat="1" applyFont="1" applyFill="1"/>
    <xf numFmtId="10" fontId="15" fillId="0" borderId="0" xfId="3" applyNumberFormat="1" applyFont="1" applyFill="1" applyAlignment="1">
      <alignment horizontal="center"/>
    </xf>
    <xf numFmtId="17" fontId="15" fillId="0" borderId="0" xfId="0" applyNumberFormat="1" applyFont="1" applyFill="1" applyAlignment="1">
      <alignment horizontal="center"/>
    </xf>
    <xf numFmtId="2" fontId="0" fillId="0" borderId="0" xfId="0" applyNumberFormat="1" applyFill="1"/>
    <xf numFmtId="2" fontId="11" fillId="0" borderId="0" xfId="0" applyNumberFormat="1" applyFont="1" applyFill="1"/>
    <xf numFmtId="9" fontId="31" fillId="0" borderId="82" xfId="3" applyFont="1" applyFill="1" applyBorder="1" applyProtection="1">
      <protection locked="0"/>
    </xf>
    <xf numFmtId="0" fontId="39" fillId="0" borderId="0" xfId="0" applyFont="1" applyBorder="1"/>
    <xf numFmtId="0" fontId="14" fillId="0" borderId="0" xfId="0" applyFont="1" applyBorder="1"/>
    <xf numFmtId="0" fontId="101" fillId="20" borderId="48" xfId="0" applyFont="1" applyFill="1" applyBorder="1"/>
    <xf numFmtId="0" fontId="14" fillId="20" borderId="0" xfId="0" applyFont="1" applyFill="1" applyBorder="1"/>
    <xf numFmtId="3" fontId="45" fillId="0" borderId="1" xfId="0" applyNumberFormat="1" applyFont="1" applyBorder="1" applyAlignment="1" applyProtection="1">
      <alignment horizontal="right"/>
      <protection locked="0"/>
    </xf>
    <xf numFmtId="165" fontId="69" fillId="0" borderId="0" xfId="0" applyNumberFormat="1" applyFont="1" applyBorder="1" applyAlignment="1">
      <alignment vertical="center"/>
    </xf>
    <xf numFmtId="4" fontId="70" fillId="25" borderId="0" xfId="5" applyNumberFormat="1" applyFont="1" applyFill="1" applyBorder="1" applyAlignment="1">
      <alignment horizontal="center"/>
    </xf>
    <xf numFmtId="4" fontId="70" fillId="34" borderId="0" xfId="5" applyNumberFormat="1" applyFont="1" applyFill="1" applyBorder="1" applyAlignment="1">
      <alignment horizontal="center"/>
    </xf>
    <xf numFmtId="0" fontId="78" fillId="34" borderId="0" xfId="0" applyFont="1" applyFill="1" applyAlignment="1">
      <alignment horizontal="center" vertical="center"/>
    </xf>
    <xf numFmtId="165" fontId="102" fillId="34" borderId="0" xfId="0" applyNumberFormat="1" applyFont="1" applyFill="1" applyBorder="1" applyAlignment="1">
      <alignment vertical="center"/>
    </xf>
    <xf numFmtId="0" fontId="102" fillId="34" borderId="0" xfId="0" applyFont="1" applyFill="1" applyAlignment="1">
      <alignment horizontal="center" vertical="center"/>
    </xf>
    <xf numFmtId="167" fontId="103" fillId="34" borderId="0" xfId="3" applyNumberFormat="1" applyFont="1" applyFill="1" applyBorder="1" applyAlignment="1">
      <alignment horizontal="center"/>
    </xf>
    <xf numFmtId="167" fontId="47" fillId="37" borderId="0" xfId="3" applyNumberFormat="1" applyFont="1" applyFill="1" applyBorder="1" applyAlignment="1" applyProtection="1">
      <alignment horizontal="center"/>
      <protection locked="0"/>
    </xf>
    <xf numFmtId="4" fontId="43" fillId="36" borderId="99" xfId="3" applyNumberFormat="1" applyFont="1" applyFill="1" applyBorder="1" applyAlignment="1">
      <alignment horizontal="center"/>
    </xf>
    <xf numFmtId="167" fontId="78" fillId="38" borderId="0" xfId="3" applyNumberFormat="1" applyFont="1" applyFill="1" applyBorder="1" applyAlignment="1" applyProtection="1">
      <alignment horizontal="center"/>
      <protection locked="0"/>
    </xf>
    <xf numFmtId="0" fontId="41" fillId="0" borderId="0" xfId="0" applyFont="1" applyFill="1" applyAlignment="1">
      <alignment horizontal="center"/>
    </xf>
    <xf numFmtId="167" fontId="103" fillId="34" borderId="0" xfId="3" applyNumberFormat="1" applyFont="1" applyFill="1" applyBorder="1" applyAlignment="1">
      <alignment horizontal="center" vertical="center"/>
    </xf>
    <xf numFmtId="167" fontId="103" fillId="39" borderId="0" xfId="3" applyNumberFormat="1" applyFont="1" applyFill="1" applyBorder="1" applyAlignment="1">
      <alignment horizontal="center" vertical="center"/>
    </xf>
    <xf numFmtId="167" fontId="78" fillId="40" borderId="0" xfId="3" applyNumberFormat="1" applyFont="1" applyFill="1" applyBorder="1" applyAlignment="1" applyProtection="1">
      <alignment horizontal="center"/>
      <protection locked="0"/>
    </xf>
    <xf numFmtId="165" fontId="102" fillId="39" borderId="0" xfId="0" applyNumberFormat="1" applyFont="1" applyFill="1" applyBorder="1" applyAlignment="1">
      <alignment vertical="center"/>
    </xf>
    <xf numFmtId="4" fontId="70" fillId="39" borderId="0" xfId="5" applyNumberFormat="1" applyFont="1" applyFill="1" applyBorder="1" applyAlignment="1">
      <alignment horizontal="center"/>
    </xf>
    <xf numFmtId="0" fontId="31" fillId="41" borderId="0" xfId="0" applyFont="1" applyFill="1" applyBorder="1" applyAlignment="1">
      <alignment horizontal="right"/>
    </xf>
    <xf numFmtId="0" fontId="71" fillId="41" borderId="0" xfId="0" applyFont="1" applyFill="1" applyBorder="1" applyAlignment="1" applyProtection="1">
      <alignment horizontal="center"/>
      <protection locked="0"/>
    </xf>
    <xf numFmtId="0" fontId="47" fillId="41" borderId="0" xfId="0" applyFont="1" applyFill="1" applyBorder="1"/>
    <xf numFmtId="4" fontId="31" fillId="41" borderId="0" xfId="0" applyNumberFormat="1" applyFont="1" applyFill="1" applyBorder="1" applyAlignment="1">
      <alignment horizontal="left"/>
    </xf>
    <xf numFmtId="0" fontId="39" fillId="41" borderId="0" xfId="0" applyFont="1" applyFill="1" applyBorder="1"/>
    <xf numFmtId="2" fontId="31" fillId="41" borderId="0" xfId="0" applyNumberFormat="1" applyFont="1" applyFill="1" applyBorder="1" applyAlignment="1">
      <alignment horizontal="left"/>
    </xf>
    <xf numFmtId="0" fontId="104" fillId="41" borderId="0" xfId="0" applyFont="1" applyFill="1" applyBorder="1"/>
    <xf numFmtId="0" fontId="14" fillId="5" borderId="75" xfId="0" applyFont="1" applyFill="1" applyBorder="1" applyAlignment="1">
      <alignment vertical="center"/>
    </xf>
    <xf numFmtId="0" fontId="14" fillId="5" borderId="100" xfId="0" applyFont="1" applyFill="1" applyBorder="1"/>
    <xf numFmtId="0" fontId="70" fillId="20" borderId="2" xfId="0" applyFont="1" applyFill="1" applyBorder="1" applyAlignment="1">
      <alignment vertical="center"/>
    </xf>
    <xf numFmtId="0" fontId="39" fillId="0" borderId="43" xfId="0" applyFont="1" applyBorder="1"/>
    <xf numFmtId="0" fontId="106" fillId="0" borderId="0" xfId="0" applyFont="1"/>
    <xf numFmtId="0" fontId="70" fillId="20" borderId="0" xfId="0" applyFont="1" applyFill="1" applyBorder="1"/>
    <xf numFmtId="165" fontId="69" fillId="0" borderId="101" xfId="0" applyNumberFormat="1" applyFont="1" applyBorder="1" applyAlignment="1">
      <alignment horizontal="center" vertical="center"/>
    </xf>
    <xf numFmtId="165" fontId="69" fillId="0" borderId="102" xfId="0" applyNumberFormat="1" applyFont="1" applyBorder="1" applyAlignment="1">
      <alignment vertical="center"/>
    </xf>
    <xf numFmtId="165" fontId="69" fillId="0" borderId="103" xfId="0" applyNumberFormat="1" applyFont="1" applyBorder="1" applyAlignment="1">
      <alignment horizontal="center" vertical="center"/>
    </xf>
    <xf numFmtId="165" fontId="69" fillId="0" borderId="104" xfId="0" applyNumberFormat="1" applyFont="1" applyBorder="1" applyAlignment="1">
      <alignment vertical="center"/>
    </xf>
    <xf numFmtId="167" fontId="47" fillId="37" borderId="15" xfId="3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167" fontId="78" fillId="38" borderId="43" xfId="3" applyNumberFormat="1" applyFont="1" applyFill="1" applyBorder="1" applyAlignment="1" applyProtection="1">
      <alignment horizontal="center"/>
      <protection locked="0"/>
    </xf>
    <xf numFmtId="4" fontId="43" fillId="36" borderId="2" xfId="3" applyNumberFormat="1" applyFont="1" applyFill="1" applyBorder="1" applyAlignment="1">
      <alignment horizontal="center"/>
    </xf>
    <xf numFmtId="165" fontId="69" fillId="0" borderId="105" xfId="0" applyNumberFormat="1" applyFont="1" applyBorder="1" applyAlignment="1">
      <alignment vertical="center"/>
    </xf>
    <xf numFmtId="9" fontId="17" fillId="0" borderId="0" xfId="0" applyNumberFormat="1" applyFont="1" applyBorder="1" applyProtection="1">
      <protection locked="0"/>
    </xf>
    <xf numFmtId="0" fontId="107" fillId="0" borderId="0" xfId="0" applyFont="1" applyAlignment="1">
      <alignment horizontal="right"/>
    </xf>
    <xf numFmtId="44" fontId="68" fillId="0" borderId="0" xfId="0" applyNumberFormat="1" applyFont="1" applyAlignment="1">
      <alignment horizontal="left"/>
    </xf>
    <xf numFmtId="0" fontId="54" fillId="24" borderId="106" xfId="0" applyFont="1" applyFill="1" applyBorder="1" applyProtection="1">
      <protection locked="0"/>
    </xf>
    <xf numFmtId="0" fontId="14" fillId="22" borderId="107" xfId="0" applyFont="1" applyFill="1" applyBorder="1"/>
    <xf numFmtId="0" fontId="60" fillId="24" borderId="108" xfId="0" applyFont="1" applyFill="1" applyBorder="1" applyProtection="1">
      <protection locked="0"/>
    </xf>
    <xf numFmtId="0" fontId="61" fillId="24" borderId="4" xfId="0" applyFont="1" applyFill="1" applyBorder="1"/>
    <xf numFmtId="9" fontId="54" fillId="24" borderId="100" xfId="0" applyNumberFormat="1" applyFont="1" applyFill="1" applyBorder="1" applyProtection="1">
      <protection locked="0"/>
    </xf>
    <xf numFmtId="0" fontId="102" fillId="34" borderId="109" xfId="0" applyFont="1" applyFill="1" applyBorder="1" applyAlignment="1">
      <alignment horizontal="center"/>
    </xf>
    <xf numFmtId="0" fontId="71" fillId="0" borderId="110" xfId="0" applyFont="1" applyBorder="1" applyProtection="1">
      <protection locked="0"/>
    </xf>
    <xf numFmtId="0" fontId="14" fillId="0" borderId="111" xfId="0" applyFont="1" applyBorder="1"/>
    <xf numFmtId="0" fontId="105" fillId="0" borderId="112" xfId="0" applyFont="1" applyBorder="1" applyProtection="1"/>
    <xf numFmtId="0" fontId="0" fillId="0" borderId="112" xfId="0" applyBorder="1"/>
    <xf numFmtId="0" fontId="0" fillId="0" borderId="113" xfId="0" applyBorder="1"/>
    <xf numFmtId="2" fontId="30" fillId="0" borderId="0" xfId="0" applyNumberFormat="1" applyFont="1"/>
    <xf numFmtId="2" fontId="0" fillId="0" borderId="0" xfId="0" applyNumberFormat="1"/>
  </cellXfs>
  <cellStyles count="6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  <cellStyle name="Porcentaje 2" xfId="5" xr:uid="{82E10DE4-D7B3-4299-870C-3B32E01BE2BE}"/>
  </cellStyles>
  <dxfs count="7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0033CC"/>
      <color rgb="FF00FF00"/>
      <color rgb="FFFF99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uttvictor@gmail.com" TargetMode="External"/><Relationship Id="rId1" Type="http://schemas.openxmlformats.org/officeDocument/2006/relationships/hyperlink" Target="file:///D:\Documents%20and%20Settings\Uruguay\Datos%20de%20programa\Microsoft\Excel\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31C0-2654-4C6D-9C21-BB57700A4748}">
  <dimension ref="A1:U462"/>
  <sheetViews>
    <sheetView tabSelected="1" zoomScale="70" zoomScaleNormal="70" workbookViewId="0">
      <pane ySplit="1" topLeftCell="A2" activePane="bottomLeft" state="frozen"/>
      <selection pane="bottomLeft" activeCell="A77" sqref="A77"/>
    </sheetView>
  </sheetViews>
  <sheetFormatPr baseColWidth="10" defaultRowHeight="15" x14ac:dyDescent="0.25"/>
  <cols>
    <col min="3" max="3" width="13.7109375" customWidth="1"/>
    <col min="4" max="4" width="43.85546875" customWidth="1"/>
    <col min="5" max="5" width="34.5703125" customWidth="1"/>
    <col min="6" max="6" width="21.85546875" customWidth="1"/>
    <col min="7" max="7" width="32.7109375" customWidth="1"/>
    <col min="8" max="8" width="15.85546875" customWidth="1"/>
    <col min="9" max="9" width="30.28515625" customWidth="1"/>
    <col min="10" max="10" width="15.5703125" customWidth="1"/>
    <col min="11" max="11" width="30.28515625" customWidth="1"/>
    <col min="13" max="13" width="29.7109375" customWidth="1"/>
    <col min="14" max="14" width="15.140625" customWidth="1"/>
  </cols>
  <sheetData>
    <row r="1" spans="1:19" ht="25.5" customHeight="1" x14ac:dyDescent="0.35">
      <c r="A1" s="19"/>
      <c r="B1" s="20"/>
      <c r="C1" s="20"/>
      <c r="D1" s="20"/>
      <c r="E1" s="21">
        <v>46204</v>
      </c>
      <c r="F1" s="22">
        <f>aumentojulio26</f>
        <v>6.6049999999999942E-2</v>
      </c>
      <c r="G1" s="21">
        <v>46143</v>
      </c>
      <c r="H1" s="22">
        <v>3.5000000000000003E-2</v>
      </c>
      <c r="I1" s="21">
        <v>46054</v>
      </c>
      <c r="J1" s="22">
        <v>0</v>
      </c>
      <c r="K1" s="21">
        <v>45992</v>
      </c>
      <c r="L1" s="592"/>
      <c r="M1" s="593"/>
      <c r="N1" s="592"/>
      <c r="O1" s="593"/>
      <c r="P1" s="592"/>
      <c r="Q1" s="593"/>
      <c r="R1" s="592"/>
      <c r="S1" s="593"/>
    </row>
    <row r="2" spans="1:19" x14ac:dyDescent="0.25">
      <c r="A2" s="23"/>
      <c r="B2" s="24"/>
      <c r="C2" s="24"/>
      <c r="D2" s="25"/>
      <c r="J2" s="582"/>
      <c r="K2" s="582"/>
      <c r="L2" s="582"/>
      <c r="M2" s="582"/>
      <c r="N2" s="582"/>
      <c r="O2" s="582"/>
      <c r="P2" s="582"/>
      <c r="Q2" s="582"/>
    </row>
    <row r="3" spans="1:19" ht="33.75" x14ac:dyDescent="0.5">
      <c r="B3" s="26" t="s">
        <v>386</v>
      </c>
      <c r="D3" s="27"/>
      <c r="E3" s="28"/>
      <c r="F3" s="28"/>
      <c r="G3" s="29"/>
      <c r="H3" s="30"/>
      <c r="I3" s="31"/>
      <c r="J3" s="594"/>
      <c r="K3" s="582"/>
      <c r="L3" s="582"/>
      <c r="M3" s="582"/>
      <c r="N3" s="582"/>
      <c r="O3" s="582"/>
      <c r="P3" s="582"/>
      <c r="Q3" s="582"/>
    </row>
    <row r="4" spans="1:19" ht="24" thickBot="1" x14ac:dyDescent="0.3">
      <c r="B4" s="33" t="s">
        <v>503</v>
      </c>
      <c r="D4" s="27"/>
      <c r="E4" s="28"/>
      <c r="F4" s="28"/>
      <c r="G4" s="29"/>
      <c r="H4" s="30"/>
      <c r="I4" s="31"/>
      <c r="J4" s="594"/>
      <c r="K4" s="582"/>
      <c r="L4" s="582"/>
      <c r="M4" s="582"/>
      <c r="N4" s="582"/>
      <c r="O4" s="582"/>
      <c r="P4" s="582"/>
      <c r="Q4" s="582"/>
    </row>
    <row r="5" spans="1:19" ht="30" x14ac:dyDescent="0.4">
      <c r="B5" s="34" t="s">
        <v>521</v>
      </c>
      <c r="C5" s="35"/>
      <c r="D5" s="36"/>
      <c r="E5" s="629" t="s">
        <v>522</v>
      </c>
      <c r="H5" s="30"/>
      <c r="I5" s="31"/>
      <c r="J5" s="594"/>
      <c r="K5" s="582"/>
      <c r="L5" s="582"/>
      <c r="M5" s="582"/>
      <c r="N5" s="582"/>
      <c r="O5" s="582"/>
      <c r="P5" s="582"/>
      <c r="Q5" s="582"/>
    </row>
    <row r="6" spans="1:19" ht="27.75" x14ac:dyDescent="0.25">
      <c r="B6" s="589" t="s">
        <v>517</v>
      </c>
      <c r="C6" s="590"/>
      <c r="D6" s="590"/>
      <c r="E6" s="37"/>
      <c r="H6" s="30"/>
      <c r="I6" s="31"/>
      <c r="J6" s="594"/>
      <c r="K6" s="582"/>
      <c r="L6" s="582"/>
      <c r="M6" s="582"/>
      <c r="N6" s="582"/>
      <c r="O6" s="582"/>
      <c r="P6" s="582"/>
      <c r="Q6" s="582"/>
    </row>
    <row r="7" spans="1:19" ht="20.25" x14ac:dyDescent="0.25">
      <c r="A7" s="38"/>
      <c r="B7" s="39"/>
      <c r="C7" s="40"/>
      <c r="D7" s="40"/>
      <c r="E7" s="40"/>
      <c r="F7" s="41" t="s">
        <v>387</v>
      </c>
      <c r="G7" s="42">
        <v>689853</v>
      </c>
      <c r="H7" s="43" t="s">
        <v>511</v>
      </c>
      <c r="I7" s="591"/>
      <c r="J7" s="595"/>
      <c r="K7" s="595"/>
      <c r="L7" s="595"/>
      <c r="M7" s="595"/>
      <c r="N7" s="595"/>
      <c r="O7" s="595"/>
      <c r="P7" s="595"/>
      <c r="Q7" s="595"/>
    </row>
    <row r="8" spans="1:19" ht="23.25" x14ac:dyDescent="0.35">
      <c r="A8" s="38"/>
      <c r="B8" s="654" t="s">
        <v>388</v>
      </c>
      <c r="C8" s="655"/>
      <c r="D8" s="655"/>
      <c r="E8" s="44"/>
      <c r="F8" s="45" t="s">
        <v>389</v>
      </c>
      <c r="G8" s="46">
        <v>1531473</v>
      </c>
      <c r="H8" s="43" t="s">
        <v>511</v>
      </c>
      <c r="I8" s="591"/>
      <c r="J8" s="44"/>
      <c r="K8" s="44"/>
      <c r="L8" s="38"/>
      <c r="M8" s="38"/>
      <c r="N8" s="38"/>
      <c r="O8" s="38"/>
      <c r="P8" s="38"/>
      <c r="Q8" s="38"/>
    </row>
    <row r="9" spans="1:19" ht="18" x14ac:dyDescent="0.25">
      <c r="A9" s="38"/>
      <c r="B9" s="47" t="s">
        <v>390</v>
      </c>
      <c r="C9" s="48"/>
      <c r="D9" s="48"/>
      <c r="E9" s="44"/>
      <c r="F9" s="49"/>
      <c r="G9" s="49"/>
      <c r="H9" s="49"/>
      <c r="I9" s="44"/>
      <c r="J9" s="44"/>
      <c r="K9" s="44"/>
      <c r="L9" s="38"/>
      <c r="M9" s="38"/>
      <c r="N9" s="38"/>
      <c r="O9" s="38"/>
      <c r="P9" s="38"/>
      <c r="Q9" s="38"/>
    </row>
    <row r="10" spans="1:19" ht="18" x14ac:dyDescent="0.25">
      <c r="A10" s="38"/>
      <c r="B10" s="50" t="s">
        <v>391</v>
      </c>
      <c r="C10" s="51"/>
      <c r="D10" s="51"/>
      <c r="E10" s="52"/>
      <c r="F10" s="53" t="s">
        <v>392</v>
      </c>
      <c r="G10" s="54">
        <f>850000/G8</f>
        <v>0.55502121160477524</v>
      </c>
      <c r="H10" s="55" t="s">
        <v>393</v>
      </c>
      <c r="I10" s="56"/>
      <c r="J10" s="57" t="s">
        <v>513</v>
      </c>
      <c r="K10" s="57"/>
      <c r="L10" s="38"/>
      <c r="M10" s="38"/>
      <c r="N10" s="38"/>
      <c r="O10" s="38"/>
      <c r="P10" s="38"/>
      <c r="Q10" s="38"/>
    </row>
    <row r="11" spans="1:19" ht="27.75" customHeight="1" x14ac:dyDescent="0.25">
      <c r="B11" s="58"/>
      <c r="C11" s="48"/>
      <c r="D11" s="48"/>
      <c r="E11" s="44"/>
      <c r="F11" s="59" t="s">
        <v>394</v>
      </c>
      <c r="G11" s="60">
        <f>667374/G8</f>
        <v>0.43577261891002977</v>
      </c>
      <c r="H11" s="55" t="s">
        <v>393</v>
      </c>
      <c r="I11" s="61"/>
      <c r="J11" s="57" t="s">
        <v>513</v>
      </c>
      <c r="K11" s="57"/>
    </row>
    <row r="12" spans="1:19" ht="20.25" x14ac:dyDescent="0.3">
      <c r="B12" s="62"/>
      <c r="C12" s="63"/>
      <c r="D12" s="64"/>
      <c r="E12" s="65"/>
      <c r="F12" s="66" t="s">
        <v>395</v>
      </c>
      <c r="G12" s="67">
        <v>0.20100000000000001</v>
      </c>
      <c r="H12" s="68" t="s">
        <v>512</v>
      </c>
      <c r="I12" s="44"/>
      <c r="J12" s="44"/>
      <c r="K12" s="44"/>
    </row>
    <row r="13" spans="1:19" x14ac:dyDescent="0.25">
      <c r="B13" s="32"/>
      <c r="C13" s="32"/>
      <c r="D13" s="69"/>
      <c r="E13" s="32"/>
      <c r="G13" s="70"/>
      <c r="H13" s="32"/>
      <c r="I13" s="31"/>
      <c r="J13" s="32"/>
    </row>
    <row r="14" spans="1:19" x14ac:dyDescent="0.25">
      <c r="B14" s="23"/>
      <c r="D14" s="69"/>
      <c r="G14" s="73"/>
      <c r="H14" s="32"/>
      <c r="I14" s="73"/>
    </row>
    <row r="15" spans="1:19" x14ac:dyDescent="0.25">
      <c r="A15" s="74"/>
      <c r="D15" s="69"/>
      <c r="I15" s="73"/>
      <c r="Q15" s="73"/>
    </row>
    <row r="16" spans="1:19" x14ac:dyDescent="0.25">
      <c r="A16" s="75" t="s">
        <v>396</v>
      </c>
      <c r="D16" s="69"/>
    </row>
    <row r="17" spans="1:8" x14ac:dyDescent="0.25">
      <c r="A17" s="75"/>
      <c r="D17" s="69"/>
      <c r="G17" s="23"/>
    </row>
    <row r="18" spans="1:8" x14ac:dyDescent="0.25">
      <c r="A18" s="75" t="s">
        <v>397</v>
      </c>
      <c r="D18" s="69"/>
      <c r="G18" s="23"/>
    </row>
    <row r="19" spans="1:8" x14ac:dyDescent="0.25">
      <c r="A19" s="75" t="s">
        <v>398</v>
      </c>
      <c r="D19" s="69"/>
      <c r="G19" s="23"/>
    </row>
    <row r="20" spans="1:8" x14ac:dyDescent="0.25">
      <c r="A20" s="75"/>
      <c r="D20" s="69"/>
      <c r="G20" s="23"/>
    </row>
    <row r="21" spans="1:8" x14ac:dyDescent="0.25">
      <c r="A21" s="75" t="s">
        <v>399</v>
      </c>
      <c r="D21" s="69"/>
      <c r="G21" s="23"/>
    </row>
    <row r="22" spans="1:8" x14ac:dyDescent="0.25">
      <c r="A22" s="75" t="s">
        <v>400</v>
      </c>
      <c r="D22" s="69"/>
      <c r="G22" s="23"/>
    </row>
    <row r="23" spans="1:8" x14ac:dyDescent="0.25">
      <c r="A23" s="75"/>
      <c r="D23" s="69"/>
      <c r="G23" s="23"/>
    </row>
    <row r="24" spans="1:8" x14ac:dyDescent="0.25">
      <c r="A24" s="75" t="s">
        <v>401</v>
      </c>
      <c r="D24" s="69"/>
      <c r="G24" s="23"/>
    </row>
    <row r="25" spans="1:8" x14ac:dyDescent="0.25">
      <c r="A25" s="75" t="s">
        <v>402</v>
      </c>
      <c r="D25" s="69"/>
      <c r="G25" s="23"/>
    </row>
    <row r="26" spans="1:8" x14ac:dyDescent="0.25">
      <c r="A26" s="75" t="s">
        <v>403</v>
      </c>
      <c r="D26" s="69"/>
      <c r="G26" s="23"/>
    </row>
    <row r="27" spans="1:8" ht="15.75" x14ac:dyDescent="0.25">
      <c r="A27" s="75"/>
      <c r="B27" s="76"/>
      <c r="D27" s="69"/>
      <c r="E27" s="72"/>
      <c r="G27" s="23"/>
    </row>
    <row r="28" spans="1:8" ht="15.75" x14ac:dyDescent="0.25">
      <c r="A28" s="75" t="s">
        <v>404</v>
      </c>
      <c r="B28" s="76"/>
      <c r="D28" s="69"/>
      <c r="E28" s="72"/>
      <c r="G28" s="23"/>
    </row>
    <row r="29" spans="1:8" ht="15.75" x14ac:dyDescent="0.25">
      <c r="A29" s="77"/>
      <c r="B29" s="76"/>
      <c r="D29" s="69"/>
      <c r="E29" s="72"/>
      <c r="G29" s="23"/>
    </row>
    <row r="30" spans="1:8" x14ac:dyDescent="0.25">
      <c r="A30" s="75" t="s">
        <v>405</v>
      </c>
      <c r="D30" s="69"/>
      <c r="G30" s="23"/>
      <c r="H30" s="78"/>
    </row>
    <row r="31" spans="1:8" x14ac:dyDescent="0.25">
      <c r="A31" s="75" t="s">
        <v>406</v>
      </c>
      <c r="D31" s="69"/>
    </row>
    <row r="32" spans="1:8" x14ac:dyDescent="0.25">
      <c r="A32" s="75" t="s">
        <v>407</v>
      </c>
      <c r="D32" s="69"/>
    </row>
    <row r="33" spans="1:15" x14ac:dyDescent="0.25">
      <c r="A33" s="75"/>
      <c r="D33" s="69"/>
    </row>
    <row r="34" spans="1:15" x14ac:dyDescent="0.25">
      <c r="A34" s="75"/>
      <c r="D34" s="69"/>
    </row>
    <row r="35" spans="1:15" x14ac:dyDescent="0.25">
      <c r="A35" s="75" t="s">
        <v>408</v>
      </c>
      <c r="D35" s="69"/>
    </row>
    <row r="36" spans="1:15" hidden="1" x14ac:dyDescent="0.25">
      <c r="A36" s="79"/>
      <c r="D36" s="69"/>
    </row>
    <row r="37" spans="1:15" hidden="1" x14ac:dyDescent="0.25">
      <c r="A37" s="79"/>
      <c r="D37" s="69"/>
    </row>
    <row r="38" spans="1:15" hidden="1" x14ac:dyDescent="0.25">
      <c r="A38" s="79"/>
      <c r="D38" s="69"/>
      <c r="O38" s="81"/>
    </row>
    <row r="39" spans="1:15" hidden="1" x14ac:dyDescent="0.25">
      <c r="A39" s="82"/>
      <c r="B39" s="44" t="s">
        <v>409</v>
      </c>
      <c r="C39" s="83">
        <v>264.02777523499992</v>
      </c>
      <c r="D39" s="44" t="s">
        <v>499</v>
      </c>
      <c r="E39" s="83">
        <v>273.2688</v>
      </c>
      <c r="F39" s="44" t="s">
        <v>504</v>
      </c>
      <c r="G39" s="83">
        <v>281.46686399999999</v>
      </c>
      <c r="H39" s="44" t="s">
        <v>506</v>
      </c>
      <c r="I39" s="83">
        <v>292.72553856000002</v>
      </c>
    </row>
    <row r="40" spans="1:15" hidden="1" x14ac:dyDescent="0.25">
      <c r="A40" s="82"/>
      <c r="B40" s="44" t="s">
        <v>410</v>
      </c>
      <c r="C40" s="83">
        <v>456.22564546749987</v>
      </c>
      <c r="D40" s="44" t="s">
        <v>500</v>
      </c>
      <c r="E40" s="83">
        <v>472.19349999999997</v>
      </c>
      <c r="F40" s="44" t="s">
        <v>505</v>
      </c>
      <c r="G40" s="83">
        <v>486.35930500000001</v>
      </c>
      <c r="H40" s="44" t="s">
        <v>507</v>
      </c>
      <c r="I40" s="83">
        <v>505.81367720000003</v>
      </c>
    </row>
    <row r="41" spans="1:15" hidden="1" x14ac:dyDescent="0.25">
      <c r="A41" s="79"/>
      <c r="C41" s="38" t="s">
        <v>498</v>
      </c>
      <c r="D41" s="32">
        <f>LOOKUP(porcantigcargo,porant,cod06cargosdic25)</f>
        <v>266884</v>
      </c>
      <c r="F41">
        <f>indicemay26*1.03</f>
        <v>281.46686399999999</v>
      </c>
      <c r="H41">
        <f>G39*1.04</f>
        <v>292.72553856000002</v>
      </c>
      <c r="K41" s="38" t="s">
        <v>411</v>
      </c>
      <c r="L41" s="32" t="e">
        <f>LOOKUP(porcantigcargo,porant,cod06cargosene25)</f>
        <v>#NAME?</v>
      </c>
    </row>
    <row r="42" spans="1:15" hidden="1" x14ac:dyDescent="0.25">
      <c r="A42" s="79"/>
      <c r="C42" s="38"/>
      <c r="D42" s="573"/>
      <c r="F42">
        <f>Indiceproljormay26*1.03</f>
        <v>486.35930500000001</v>
      </c>
      <c r="H42">
        <f>G40*1.04</f>
        <v>505.81367720000003</v>
      </c>
      <c r="K42" s="38"/>
      <c r="L42" s="573"/>
    </row>
    <row r="43" spans="1:15" hidden="1" x14ac:dyDescent="0.25">
      <c r="A43" s="79"/>
      <c r="D43" s="38" t="s">
        <v>508</v>
      </c>
      <c r="E43">
        <v>3.5000000000000003E-2</v>
      </c>
      <c r="K43" s="38"/>
      <c r="L43" s="573"/>
    </row>
    <row r="44" spans="1:15" hidden="1" x14ac:dyDescent="0.25">
      <c r="A44" s="79"/>
      <c r="C44" s="38"/>
      <c r="D44" s="38" t="s">
        <v>509</v>
      </c>
      <c r="E44">
        <f>(1+aumentomayo26)*(1.03)-1</f>
        <v>6.6049999999999942E-2</v>
      </c>
      <c r="K44" s="38"/>
      <c r="L44" s="573"/>
    </row>
    <row r="45" spans="1:15" hidden="1" x14ac:dyDescent="0.25">
      <c r="A45" s="79"/>
      <c r="C45" s="38"/>
      <c r="D45" s="38" t="s">
        <v>510</v>
      </c>
      <c r="E45">
        <f>(1+E44)*(1.04)-1</f>
        <v>0.10869200000000001</v>
      </c>
      <c r="K45" s="38"/>
      <c r="L45" s="573"/>
    </row>
    <row r="46" spans="1:15" hidden="1" x14ac:dyDescent="0.25">
      <c r="A46" s="79"/>
      <c r="C46" s="38"/>
      <c r="D46" s="573"/>
      <c r="K46" s="38"/>
      <c r="L46" s="573"/>
    </row>
    <row r="47" spans="1:15" hidden="1" x14ac:dyDescent="0.25">
      <c r="A47" s="79"/>
      <c r="C47" s="38"/>
      <c r="D47" s="573"/>
      <c r="K47" s="38"/>
      <c r="L47" s="573"/>
    </row>
    <row r="48" spans="1:15" hidden="1" x14ac:dyDescent="0.25">
      <c r="A48" s="79"/>
      <c r="C48" s="38"/>
      <c r="D48" s="573"/>
      <c r="K48" s="38"/>
      <c r="L48" s="573"/>
    </row>
    <row r="49" spans="1:17" hidden="1" x14ac:dyDescent="0.25">
      <c r="A49" s="79"/>
      <c r="C49" s="38"/>
      <c r="D49" s="573"/>
      <c r="K49" s="38"/>
      <c r="L49" s="573"/>
    </row>
    <row r="50" spans="1:17" hidden="1" x14ac:dyDescent="0.25">
      <c r="A50" s="79"/>
      <c r="C50" s="38"/>
      <c r="D50" s="573"/>
      <c r="K50" s="38"/>
      <c r="L50" s="573"/>
    </row>
    <row r="51" spans="1:17" hidden="1" x14ac:dyDescent="0.25">
      <c r="A51" s="79"/>
      <c r="C51" s="38"/>
      <c r="D51" s="573"/>
      <c r="K51" s="38"/>
      <c r="L51" s="573"/>
    </row>
    <row r="52" spans="1:17" ht="16.5" hidden="1" thickBot="1" x14ac:dyDescent="0.3">
      <c r="A52" s="84"/>
      <c r="C52" s="87">
        <v>45658</v>
      </c>
      <c r="D52" s="88"/>
      <c r="E52" s="89"/>
      <c r="F52" s="87">
        <v>45658</v>
      </c>
      <c r="G52" s="87">
        <v>45658</v>
      </c>
      <c r="I52" s="90"/>
      <c r="J52" s="85"/>
      <c r="K52" s="38"/>
      <c r="L52" s="80"/>
    </row>
    <row r="53" spans="1:17" ht="17.25" hidden="1" thickTop="1" thickBot="1" x14ac:dyDescent="0.3">
      <c r="A53" s="84"/>
      <c r="C53" s="92" t="s">
        <v>412</v>
      </c>
      <c r="D53" s="93" t="s">
        <v>413</v>
      </c>
      <c r="E53" s="94" t="s">
        <v>414</v>
      </c>
      <c r="F53" s="95" t="s">
        <v>415</v>
      </c>
      <c r="G53" s="96" t="s">
        <v>416</v>
      </c>
      <c r="H53" s="95" t="s">
        <v>417</v>
      </c>
      <c r="I53" s="95" t="s">
        <v>418</v>
      </c>
      <c r="J53" s="95" t="s">
        <v>419</v>
      </c>
      <c r="K53" s="95" t="s">
        <v>420</v>
      </c>
      <c r="L53" s="97" t="s">
        <v>421</v>
      </c>
      <c r="M53" s="97">
        <v>1</v>
      </c>
      <c r="N53" s="97">
        <v>2</v>
      </c>
      <c r="O53" s="97">
        <v>3</v>
      </c>
      <c r="P53" s="97">
        <v>4</v>
      </c>
      <c r="Q53" s="97">
        <v>5</v>
      </c>
    </row>
    <row r="54" spans="1:17" ht="15.75" hidden="1" x14ac:dyDescent="0.25">
      <c r="A54" s="84"/>
      <c r="B54" s="98">
        <v>0</v>
      </c>
      <c r="C54" s="99">
        <f t="shared" ref="C54:C65" si="0">IF(OR(puntosproljor&lt;620,nina=1),Q54,L54)</f>
        <v>162950</v>
      </c>
      <c r="D54" s="100">
        <v>162950</v>
      </c>
      <c r="E54" s="100">
        <v>116384</v>
      </c>
      <c r="F54" s="100"/>
      <c r="G54" s="100"/>
      <c r="H54" s="100"/>
      <c r="I54" s="100"/>
      <c r="J54" s="100">
        <v>130148</v>
      </c>
      <c r="K54" s="100">
        <v>115322</v>
      </c>
      <c r="L54" s="101">
        <f t="shared" ref="L54:L65" si="1">IF(PUNTOSbasicos&gt;971,K54,J54)</f>
        <v>130148</v>
      </c>
      <c r="M54" s="102">
        <f t="shared" ref="M54:M65" si="2">IF(PUNTOSbasicos&lt;972,D54,E54)</f>
        <v>162950</v>
      </c>
      <c r="N54" s="102">
        <f t="shared" ref="N54:N65" si="3">IF(PUNTOSbasicos&lt;1170,M54,F54)</f>
        <v>162950</v>
      </c>
      <c r="O54" s="102">
        <f t="shared" ref="O54:O65" si="4">IF(PUNTOSbasicos&lt;1401,N54,G54)</f>
        <v>162950</v>
      </c>
      <c r="P54" s="102">
        <f t="shared" ref="P54:P65" si="5">IF(PUNTOSbasicos&lt;1943,O54,H54)</f>
        <v>162950</v>
      </c>
      <c r="Q54" s="102">
        <f t="shared" ref="Q54:Q65" si="6">IF(PUNTOSbasicos&lt;=2220,P54,I54)</f>
        <v>162950</v>
      </c>
    </row>
    <row r="55" spans="1:17" ht="15.75" hidden="1" x14ac:dyDescent="0.25">
      <c r="A55" s="84"/>
      <c r="B55" s="103">
        <v>0.1</v>
      </c>
      <c r="C55" s="99">
        <f t="shared" si="0"/>
        <v>199370</v>
      </c>
      <c r="D55" s="100">
        <v>199370</v>
      </c>
      <c r="E55" s="100">
        <v>119212</v>
      </c>
      <c r="F55" s="100"/>
      <c r="G55" s="100"/>
      <c r="H55" s="100"/>
      <c r="I55" s="100"/>
      <c r="J55" s="100">
        <v>132976</v>
      </c>
      <c r="K55" s="100">
        <v>118150</v>
      </c>
      <c r="L55" s="101">
        <f t="shared" si="1"/>
        <v>132976</v>
      </c>
      <c r="M55" s="102">
        <f t="shared" si="2"/>
        <v>199370</v>
      </c>
      <c r="N55" s="102">
        <f t="shared" si="3"/>
        <v>199370</v>
      </c>
      <c r="O55" s="102">
        <f t="shared" si="4"/>
        <v>199370</v>
      </c>
      <c r="P55" s="102">
        <f t="shared" si="5"/>
        <v>199370</v>
      </c>
      <c r="Q55" s="102">
        <f t="shared" si="6"/>
        <v>199370</v>
      </c>
    </row>
    <row r="56" spans="1:17" ht="15.75" hidden="1" x14ac:dyDescent="0.25">
      <c r="A56" s="84"/>
      <c r="B56" s="104">
        <v>0.15</v>
      </c>
      <c r="C56" s="99">
        <f t="shared" si="0"/>
        <v>222165</v>
      </c>
      <c r="D56" s="100">
        <v>222165</v>
      </c>
      <c r="E56" s="100">
        <v>144321</v>
      </c>
      <c r="F56" s="100">
        <v>160860</v>
      </c>
      <c r="G56" s="100">
        <v>137517</v>
      </c>
      <c r="H56" s="100">
        <v>143088</v>
      </c>
      <c r="I56" s="100"/>
      <c r="J56" s="100">
        <v>169396</v>
      </c>
      <c r="K56" s="100">
        <v>154571</v>
      </c>
      <c r="L56" s="101">
        <f t="shared" si="1"/>
        <v>169396</v>
      </c>
      <c r="M56" s="102">
        <f t="shared" si="2"/>
        <v>222165</v>
      </c>
      <c r="N56" s="102">
        <f t="shared" si="3"/>
        <v>222165</v>
      </c>
      <c r="O56" s="102">
        <f t="shared" si="4"/>
        <v>222165</v>
      </c>
      <c r="P56" s="102">
        <f t="shared" si="5"/>
        <v>222165</v>
      </c>
      <c r="Q56" s="102">
        <f t="shared" si="6"/>
        <v>222165</v>
      </c>
    </row>
    <row r="57" spans="1:17" ht="15.75" hidden="1" x14ac:dyDescent="0.25">
      <c r="A57" s="84"/>
      <c r="B57" s="104">
        <v>0.3</v>
      </c>
      <c r="C57" s="99">
        <f t="shared" si="0"/>
        <v>231592</v>
      </c>
      <c r="D57" s="100">
        <v>231592</v>
      </c>
      <c r="E57" s="100">
        <v>148348</v>
      </c>
      <c r="F57" s="100">
        <v>160860</v>
      </c>
      <c r="G57" s="100">
        <v>137517</v>
      </c>
      <c r="H57" s="100">
        <v>143088</v>
      </c>
      <c r="I57" s="100"/>
      <c r="J57" s="100">
        <v>214215</v>
      </c>
      <c r="K57" s="100">
        <v>190991</v>
      </c>
      <c r="L57" s="101">
        <f t="shared" si="1"/>
        <v>214215</v>
      </c>
      <c r="M57" s="102">
        <f t="shared" si="2"/>
        <v>231592</v>
      </c>
      <c r="N57" s="102">
        <f t="shared" si="3"/>
        <v>231592</v>
      </c>
      <c r="O57" s="102">
        <f t="shared" si="4"/>
        <v>231592</v>
      </c>
      <c r="P57" s="102">
        <f t="shared" si="5"/>
        <v>231592</v>
      </c>
      <c r="Q57" s="102">
        <f t="shared" si="6"/>
        <v>231592</v>
      </c>
    </row>
    <row r="58" spans="1:17" ht="15.75" hidden="1" x14ac:dyDescent="0.25">
      <c r="A58" s="84"/>
      <c r="B58" s="104">
        <v>0.4</v>
      </c>
      <c r="C58" s="99">
        <f t="shared" si="0"/>
        <v>216338</v>
      </c>
      <c r="D58" s="100">
        <v>216338</v>
      </c>
      <c r="E58" s="100">
        <v>152633</v>
      </c>
      <c r="F58" s="100">
        <v>153542</v>
      </c>
      <c r="G58" s="100">
        <v>139488</v>
      </c>
      <c r="H58" s="100">
        <v>143088</v>
      </c>
      <c r="I58" s="100">
        <v>131947</v>
      </c>
      <c r="J58" s="100">
        <v>231097</v>
      </c>
      <c r="K58" s="100">
        <v>194814</v>
      </c>
      <c r="L58" s="101">
        <f t="shared" si="1"/>
        <v>231097</v>
      </c>
      <c r="M58" s="102">
        <f t="shared" si="2"/>
        <v>216338</v>
      </c>
      <c r="N58" s="102">
        <f t="shared" si="3"/>
        <v>216338</v>
      </c>
      <c r="O58" s="102">
        <f t="shared" si="4"/>
        <v>216338</v>
      </c>
      <c r="P58" s="102">
        <f t="shared" si="5"/>
        <v>216338</v>
      </c>
      <c r="Q58" s="102">
        <f t="shared" si="6"/>
        <v>216338</v>
      </c>
    </row>
    <row r="59" spans="1:17" ht="15.75" hidden="1" x14ac:dyDescent="0.25">
      <c r="A59" s="84"/>
      <c r="B59" s="104">
        <v>0.5</v>
      </c>
      <c r="C59" s="99">
        <f t="shared" si="0"/>
        <v>198085</v>
      </c>
      <c r="D59" s="100">
        <v>198085</v>
      </c>
      <c r="E59" s="100">
        <v>158203</v>
      </c>
      <c r="F59" s="100">
        <v>153542</v>
      </c>
      <c r="G59" s="100">
        <v>139488</v>
      </c>
      <c r="H59" s="100">
        <v>143088</v>
      </c>
      <c r="I59" s="100">
        <v>121716</v>
      </c>
      <c r="J59" s="100">
        <v>240866</v>
      </c>
      <c r="K59" s="100">
        <v>204498</v>
      </c>
      <c r="L59" s="101">
        <f t="shared" si="1"/>
        <v>240866</v>
      </c>
      <c r="M59" s="102">
        <f t="shared" si="2"/>
        <v>198085</v>
      </c>
      <c r="N59" s="102">
        <f t="shared" si="3"/>
        <v>198085</v>
      </c>
      <c r="O59" s="102">
        <f t="shared" si="4"/>
        <v>198085</v>
      </c>
      <c r="P59" s="102">
        <f t="shared" si="5"/>
        <v>198085</v>
      </c>
      <c r="Q59" s="102">
        <f t="shared" si="6"/>
        <v>198085</v>
      </c>
    </row>
    <row r="60" spans="1:17" ht="15.75" hidden="1" x14ac:dyDescent="0.25">
      <c r="A60" s="84"/>
      <c r="B60" s="104">
        <v>0.6</v>
      </c>
      <c r="C60" s="99">
        <f t="shared" si="0"/>
        <v>198770</v>
      </c>
      <c r="D60" s="100">
        <v>198770</v>
      </c>
      <c r="E60" s="100">
        <v>156199</v>
      </c>
      <c r="F60" s="100">
        <v>156199</v>
      </c>
      <c r="G60" s="100">
        <v>140431</v>
      </c>
      <c r="H60" s="100">
        <v>135599</v>
      </c>
      <c r="I60" s="100">
        <v>127715</v>
      </c>
      <c r="J60" s="100">
        <v>250635</v>
      </c>
      <c r="K60" s="100">
        <v>208782</v>
      </c>
      <c r="L60" s="101">
        <f t="shared" si="1"/>
        <v>250635</v>
      </c>
      <c r="M60" s="102">
        <f t="shared" si="2"/>
        <v>198770</v>
      </c>
      <c r="N60" s="102">
        <f t="shared" si="3"/>
        <v>198770</v>
      </c>
      <c r="O60" s="102">
        <f t="shared" si="4"/>
        <v>198770</v>
      </c>
      <c r="P60" s="102">
        <f t="shared" si="5"/>
        <v>198770</v>
      </c>
      <c r="Q60" s="102">
        <f t="shared" si="6"/>
        <v>198770</v>
      </c>
    </row>
    <row r="61" spans="1:17" ht="15.75" hidden="1" x14ac:dyDescent="0.25">
      <c r="A61" s="84"/>
      <c r="B61" s="104">
        <v>0.7</v>
      </c>
      <c r="C61" s="99">
        <f t="shared" si="0"/>
        <v>183140</v>
      </c>
      <c r="D61" s="100">
        <v>183140</v>
      </c>
      <c r="E61" s="100">
        <v>163140</v>
      </c>
      <c r="F61" s="100">
        <v>182250</v>
      </c>
      <c r="G61" s="100">
        <v>137741</v>
      </c>
      <c r="H61" s="100">
        <v>135599</v>
      </c>
      <c r="I61" s="100">
        <v>127715</v>
      </c>
      <c r="J61" s="100">
        <v>244689</v>
      </c>
      <c r="K61" s="100">
        <v>213067</v>
      </c>
      <c r="L61" s="101">
        <f t="shared" si="1"/>
        <v>244689</v>
      </c>
      <c r="M61" s="102">
        <f t="shared" si="2"/>
        <v>183140</v>
      </c>
      <c r="N61" s="102">
        <f t="shared" si="3"/>
        <v>183140</v>
      </c>
      <c r="O61" s="102">
        <f t="shared" si="4"/>
        <v>183140</v>
      </c>
      <c r="P61" s="102">
        <f t="shared" si="5"/>
        <v>183140</v>
      </c>
      <c r="Q61" s="102">
        <f t="shared" si="6"/>
        <v>183140</v>
      </c>
    </row>
    <row r="62" spans="1:17" ht="15.75" hidden="1" x14ac:dyDescent="0.25">
      <c r="A62" s="84"/>
      <c r="B62" s="104">
        <v>0.8</v>
      </c>
      <c r="C62" s="99">
        <f t="shared" si="0"/>
        <v>206878</v>
      </c>
      <c r="D62" s="100">
        <v>206878</v>
      </c>
      <c r="E62" s="100">
        <v>179851</v>
      </c>
      <c r="F62" s="100">
        <v>193819</v>
      </c>
      <c r="G62" s="100">
        <v>168163</v>
      </c>
      <c r="H62" s="100">
        <v>160450</v>
      </c>
      <c r="I62" s="100">
        <v>132857</v>
      </c>
      <c r="J62" s="100">
        <v>252915</v>
      </c>
      <c r="K62" s="100">
        <v>215809</v>
      </c>
      <c r="L62" s="101">
        <f t="shared" si="1"/>
        <v>252915</v>
      </c>
      <c r="M62" s="102">
        <f t="shared" si="2"/>
        <v>206878</v>
      </c>
      <c r="N62" s="102">
        <f t="shared" si="3"/>
        <v>206878</v>
      </c>
      <c r="O62" s="102">
        <f t="shared" si="4"/>
        <v>206878</v>
      </c>
      <c r="P62" s="102">
        <f t="shared" si="5"/>
        <v>206878</v>
      </c>
      <c r="Q62" s="102">
        <f t="shared" si="6"/>
        <v>206878</v>
      </c>
    </row>
    <row r="63" spans="1:17" ht="15.75" hidden="1" x14ac:dyDescent="0.25">
      <c r="A63" s="84"/>
      <c r="B63" s="104">
        <v>1</v>
      </c>
      <c r="C63" s="99">
        <f t="shared" si="0"/>
        <v>239396</v>
      </c>
      <c r="D63" s="100">
        <v>239396</v>
      </c>
      <c r="E63" s="100">
        <v>203281</v>
      </c>
      <c r="F63" s="100">
        <v>196473</v>
      </c>
      <c r="G63" s="100">
        <v>164272</v>
      </c>
      <c r="H63" s="100">
        <v>167676</v>
      </c>
      <c r="I63" s="100">
        <v>131934</v>
      </c>
      <c r="J63" s="100">
        <v>261031</v>
      </c>
      <c r="K63" s="100">
        <v>218396</v>
      </c>
      <c r="L63" s="101">
        <f t="shared" si="1"/>
        <v>261031</v>
      </c>
      <c r="M63" s="102">
        <f t="shared" si="2"/>
        <v>239396</v>
      </c>
      <c r="N63" s="102">
        <f t="shared" si="3"/>
        <v>239396</v>
      </c>
      <c r="O63" s="102">
        <f t="shared" si="4"/>
        <v>239396</v>
      </c>
      <c r="P63" s="102">
        <f t="shared" si="5"/>
        <v>239396</v>
      </c>
      <c r="Q63" s="102">
        <f t="shared" si="6"/>
        <v>239396</v>
      </c>
    </row>
    <row r="64" spans="1:17" ht="15.75" hidden="1" x14ac:dyDescent="0.25">
      <c r="A64" s="84"/>
      <c r="B64" s="104">
        <v>1.1000000000000001</v>
      </c>
      <c r="C64" s="99">
        <f t="shared" si="0"/>
        <v>260246</v>
      </c>
      <c r="D64" s="100">
        <v>260246</v>
      </c>
      <c r="E64" s="100">
        <v>219961</v>
      </c>
      <c r="F64" s="100">
        <v>191929</v>
      </c>
      <c r="G64" s="100">
        <v>164272</v>
      </c>
      <c r="H64" s="100">
        <v>170484</v>
      </c>
      <c r="I64" s="100">
        <v>134657</v>
      </c>
      <c r="J64" s="100">
        <v>267924</v>
      </c>
      <c r="K64" s="100">
        <v>222566</v>
      </c>
      <c r="L64" s="101">
        <f t="shared" si="1"/>
        <v>267924</v>
      </c>
      <c r="M64" s="102">
        <f t="shared" si="2"/>
        <v>260246</v>
      </c>
      <c r="N64" s="102">
        <f t="shared" si="3"/>
        <v>260246</v>
      </c>
      <c r="O64" s="102">
        <f t="shared" si="4"/>
        <v>260246</v>
      </c>
      <c r="P64" s="102">
        <f t="shared" si="5"/>
        <v>260246</v>
      </c>
      <c r="Q64" s="102">
        <f t="shared" si="6"/>
        <v>260246</v>
      </c>
    </row>
    <row r="65" spans="1:17" ht="16.5" hidden="1" thickBot="1" x14ac:dyDescent="0.3">
      <c r="A65" s="84"/>
      <c r="B65" s="105">
        <v>1.2</v>
      </c>
      <c r="C65" s="99">
        <f t="shared" si="0"/>
        <v>266884</v>
      </c>
      <c r="D65" s="100">
        <v>266884</v>
      </c>
      <c r="E65" s="100">
        <v>224045</v>
      </c>
      <c r="F65" s="100">
        <v>205545</v>
      </c>
      <c r="G65" s="100">
        <v>165634</v>
      </c>
      <c r="H65" s="100">
        <v>173207</v>
      </c>
      <c r="I65" s="100">
        <v>134657</v>
      </c>
      <c r="J65" s="100">
        <v>269285</v>
      </c>
      <c r="K65" s="100">
        <v>224097</v>
      </c>
      <c r="L65" s="101">
        <f t="shared" si="1"/>
        <v>269285</v>
      </c>
      <c r="M65" s="102">
        <f t="shared" si="2"/>
        <v>266884</v>
      </c>
      <c r="N65" s="102">
        <f t="shared" si="3"/>
        <v>266884</v>
      </c>
      <c r="O65" s="102">
        <f t="shared" si="4"/>
        <v>266884</v>
      </c>
      <c r="P65" s="102">
        <f t="shared" si="5"/>
        <v>266884</v>
      </c>
      <c r="Q65" s="102">
        <f t="shared" si="6"/>
        <v>266884</v>
      </c>
    </row>
    <row r="66" spans="1:17" ht="15.75" hidden="1" x14ac:dyDescent="0.25">
      <c r="A66" s="84"/>
      <c r="B66" s="106"/>
      <c r="C66" s="107"/>
      <c r="D66" s="100"/>
      <c r="E66" s="100"/>
      <c r="F66" s="100"/>
      <c r="G66" s="100"/>
      <c r="H66" s="100"/>
      <c r="I66" s="100"/>
      <c r="J66" s="100"/>
      <c r="K66" s="100"/>
      <c r="L66" s="108"/>
      <c r="M66" s="108"/>
      <c r="N66" s="108"/>
      <c r="O66" s="108"/>
      <c r="P66" s="108"/>
      <c r="Q66" s="108"/>
    </row>
    <row r="67" spans="1:17" ht="15.75" hidden="1" x14ac:dyDescent="0.25">
      <c r="A67" s="84"/>
      <c r="B67" s="106"/>
      <c r="C67" s="107"/>
      <c r="D67" s="100"/>
      <c r="E67" s="100"/>
      <c r="F67" s="100"/>
      <c r="G67" s="100"/>
      <c r="H67" s="100"/>
      <c r="I67" s="100"/>
      <c r="J67" s="100"/>
      <c r="K67" s="100"/>
      <c r="L67" s="108"/>
      <c r="M67" s="108"/>
      <c r="N67" s="108"/>
      <c r="O67" s="108"/>
      <c r="P67" s="108"/>
      <c r="Q67" s="108"/>
    </row>
    <row r="68" spans="1:17" ht="15.75" hidden="1" x14ac:dyDescent="0.25">
      <c r="A68" s="84"/>
      <c r="B68" s="106"/>
      <c r="C68" s="107"/>
      <c r="D68" s="109"/>
      <c r="E68" s="110"/>
      <c r="F68" s="110"/>
      <c r="G68" s="110"/>
      <c r="H68" s="110"/>
      <c r="I68" s="110"/>
      <c r="J68" s="110"/>
      <c r="K68" s="110"/>
      <c r="L68" s="108"/>
      <c r="M68" s="20"/>
      <c r="N68" s="20"/>
      <c r="O68" s="20"/>
      <c r="P68" s="20"/>
      <c r="Q68" s="20"/>
    </row>
    <row r="69" spans="1:17" ht="15.75" hidden="1" x14ac:dyDescent="0.25">
      <c r="A69" s="84"/>
      <c r="B69" s="106"/>
      <c r="C69" s="107"/>
      <c r="D69" s="109"/>
      <c r="E69" s="110"/>
      <c r="F69" s="110"/>
      <c r="G69" s="110"/>
      <c r="H69" s="110"/>
      <c r="I69" s="110"/>
      <c r="J69" s="110"/>
      <c r="K69" s="110"/>
      <c r="L69" s="108"/>
      <c r="M69" s="20"/>
      <c r="N69" s="20"/>
      <c r="O69" s="20"/>
      <c r="P69" s="20"/>
      <c r="Q69" s="20"/>
    </row>
    <row r="70" spans="1:17" hidden="1" x14ac:dyDescent="0.25">
      <c r="A70" s="84"/>
      <c r="B70" s="111"/>
      <c r="C70" s="91"/>
      <c r="D70" s="112"/>
      <c r="E70" s="91"/>
      <c r="F70" s="91"/>
      <c r="G70" s="113"/>
      <c r="H70" s="91"/>
      <c r="I70" s="91"/>
      <c r="J70" s="91"/>
      <c r="K70" s="91"/>
      <c r="L70" s="91"/>
      <c r="M70" s="91"/>
      <c r="N70" s="91"/>
      <c r="O70" s="91"/>
      <c r="P70" s="91"/>
      <c r="Q70" s="91"/>
    </row>
    <row r="71" spans="1:17" ht="15.75" hidden="1" x14ac:dyDescent="0.25">
      <c r="A71" s="79"/>
      <c r="B71" s="72"/>
      <c r="C71" s="20"/>
      <c r="D71" s="114"/>
      <c r="G71" s="73"/>
    </row>
    <row r="72" spans="1:17" x14ac:dyDescent="0.25">
      <c r="A72" s="115"/>
      <c r="B72" s="116"/>
      <c r="C72" s="117"/>
      <c r="D72" s="118"/>
      <c r="E72" s="117"/>
      <c r="F72" s="119"/>
      <c r="G72" s="117"/>
      <c r="H72" s="117"/>
      <c r="I72" s="116"/>
      <c r="J72" s="117"/>
      <c r="K72" s="117"/>
    </row>
    <row r="73" spans="1:17" ht="26.25" x14ac:dyDescent="0.4">
      <c r="B73" s="24"/>
      <c r="C73" s="120" t="s">
        <v>422</v>
      </c>
      <c r="D73" s="25"/>
      <c r="E73" s="24"/>
      <c r="F73" s="121"/>
      <c r="G73" s="122" t="s">
        <v>422</v>
      </c>
      <c r="H73" s="24"/>
      <c r="I73" s="24"/>
      <c r="J73" s="122" t="s">
        <v>422</v>
      </c>
      <c r="K73" s="24"/>
      <c r="Q73" s="123"/>
    </row>
    <row r="74" spans="1:17" ht="15.75" thickBot="1" x14ac:dyDescent="0.3">
      <c r="D74" s="69"/>
      <c r="G74" s="73"/>
      <c r="Q74" s="123"/>
    </row>
    <row r="75" spans="1:17" ht="15.75" x14ac:dyDescent="0.25">
      <c r="A75" s="125" t="s">
        <v>0</v>
      </c>
      <c r="B75" s="125" t="s">
        <v>423</v>
      </c>
      <c r="C75" s="125" t="s">
        <v>424</v>
      </c>
      <c r="D75" s="126" t="s">
        <v>425</v>
      </c>
      <c r="E75" s="127" t="s">
        <v>426</v>
      </c>
      <c r="F75" s="128" t="s">
        <v>427</v>
      </c>
      <c r="G75" s="129" t="s">
        <v>428</v>
      </c>
      <c r="H75" s="130" t="s">
        <v>429</v>
      </c>
      <c r="I75" s="131" t="s">
        <v>430</v>
      </c>
      <c r="J75" s="132"/>
      <c r="K75" s="132"/>
      <c r="L75" s="132"/>
      <c r="P75" s="133"/>
      <c r="Q75" s="134"/>
    </row>
    <row r="76" spans="1:17" ht="27" thickBot="1" x14ac:dyDescent="0.45">
      <c r="A76" s="135">
        <v>749</v>
      </c>
      <c r="B76" s="136">
        <f>LOOKUP($A$76,numcargo,punbascargo)</f>
        <v>971</v>
      </c>
      <c r="C76" s="136">
        <f>LOOKUP($A$76,numcargo,tardif)</f>
        <v>0</v>
      </c>
      <c r="D76" s="137">
        <f>LOOKUP($A$76,numcargo,proljor)</f>
        <v>0</v>
      </c>
      <c r="E76" s="138"/>
      <c r="F76" s="137">
        <f>LOOKUP($A$76,numcargo,puntoscompbas2016)</f>
        <v>414.7</v>
      </c>
      <c r="G76" s="137"/>
      <c r="H76" s="137">
        <f>LOOKUP($A$76,numcargo,adicnina)</f>
        <v>0</v>
      </c>
      <c r="I76" s="131">
        <f>LOOKUP($A$76,numcargo,adicdir2022)</f>
        <v>0</v>
      </c>
      <c r="J76" s="132"/>
      <c r="K76" s="132"/>
      <c r="L76" s="132"/>
      <c r="P76" s="123"/>
      <c r="Q76" s="124"/>
    </row>
    <row r="77" spans="1:17" ht="21" thickBot="1" x14ac:dyDescent="0.3">
      <c r="A77" s="139"/>
      <c r="B77" s="140" t="str">
        <f>LOOKUP(A76,numcargo,nombrecargo)</f>
        <v>Maestro De Ciclo</v>
      </c>
      <c r="C77" s="141"/>
      <c r="D77" s="142"/>
      <c r="E77" s="143"/>
      <c r="F77" s="144"/>
      <c r="G77" s="145"/>
      <c r="H77" s="625"/>
      <c r="I77" s="627" t="s">
        <v>519</v>
      </c>
      <c r="J77" s="146"/>
      <c r="K77" s="147"/>
      <c r="L77" s="144"/>
      <c r="M77" s="144"/>
      <c r="N77" s="145"/>
      <c r="O77" s="145"/>
      <c r="P77" s="145"/>
      <c r="Q77" s="133"/>
    </row>
    <row r="78" spans="1:17" ht="17.25" thickTop="1" thickBot="1" x14ac:dyDescent="0.3">
      <c r="B78" s="148" t="s">
        <v>431</v>
      </c>
      <c r="C78" s="132"/>
      <c r="D78" s="149"/>
      <c r="E78" s="132"/>
      <c r="F78" s="150" t="s">
        <v>432</v>
      </c>
      <c r="H78" s="626"/>
      <c r="I78" s="628">
        <f>LOOKUP($A$76,numcargo,punexten)</f>
        <v>510</v>
      </c>
      <c r="Q78" s="123"/>
    </row>
    <row r="79" spans="1:17" ht="17.25" thickTop="1" thickBot="1" x14ac:dyDescent="0.3">
      <c r="A79" s="20"/>
      <c r="B79" s="151">
        <v>0</v>
      </c>
      <c r="D79" s="69"/>
      <c r="E79" s="643">
        <v>120</v>
      </c>
      <c r="F79" s="644">
        <f>E79/120</f>
        <v>1</v>
      </c>
      <c r="G79" s="20"/>
      <c r="H79" s="132" t="s">
        <v>433</v>
      </c>
      <c r="I79" s="132"/>
      <c r="Q79" s="133"/>
    </row>
    <row r="80" spans="1:17" ht="33" thickTop="1" thickBot="1" x14ac:dyDescent="0.55000000000000004">
      <c r="A80" s="20"/>
      <c r="B80" s="19"/>
      <c r="C80" s="648" t="s">
        <v>520</v>
      </c>
      <c r="D80" s="649">
        <v>0</v>
      </c>
      <c r="E80" s="650" t="s">
        <v>435</v>
      </c>
      <c r="F80" s="649">
        <v>0</v>
      </c>
      <c r="G80" s="651" t="str">
        <f>IF(AND(nina=1,NEP=1),"No pueden estar ambos en 1","")</f>
        <v/>
      </c>
      <c r="H80" s="652"/>
      <c r="I80" s="653"/>
      <c r="Q80" s="123"/>
    </row>
    <row r="81" spans="1:17" ht="19.5" thickTop="1" thickBot="1" x14ac:dyDescent="0.3">
      <c r="A81" s="20"/>
      <c r="C81" s="377" t="s">
        <v>1</v>
      </c>
      <c r="D81" s="645" t="s">
        <v>434</v>
      </c>
      <c r="E81" s="646"/>
      <c r="F81" s="647">
        <v>0.82</v>
      </c>
      <c r="J81" s="153">
        <f>A76</f>
        <v>749</v>
      </c>
      <c r="K81" s="154" t="str">
        <f>B77</f>
        <v>Maestro De Ciclo</v>
      </c>
      <c r="L81" s="155">
        <f>porcantigcargo</f>
        <v>1.2</v>
      </c>
      <c r="Q81" s="133"/>
    </row>
    <row r="82" spans="1:17" ht="18" x14ac:dyDescent="0.25">
      <c r="A82" s="20"/>
      <c r="C82" s="20"/>
      <c r="D82" s="156"/>
      <c r="E82" s="157"/>
      <c r="F82" s="158"/>
      <c r="I82" s="159">
        <v>45992</v>
      </c>
      <c r="J82" s="160">
        <f>K90</f>
        <v>953095.60285457759</v>
      </c>
      <c r="K82" s="161"/>
      <c r="L82" s="96"/>
      <c r="M82" s="23"/>
      <c r="Q82" s="133"/>
    </row>
    <row r="83" spans="1:17" ht="18" x14ac:dyDescent="0.25">
      <c r="A83" s="20"/>
      <c r="B83" s="20"/>
      <c r="C83" s="20"/>
      <c r="D83" s="149"/>
      <c r="E83" s="132"/>
      <c r="F83" s="132"/>
      <c r="G83" s="20"/>
      <c r="I83" s="159">
        <v>46054</v>
      </c>
      <c r="J83" s="160">
        <f>I90</f>
        <v>983095.60285457759</v>
      </c>
      <c r="K83" s="162">
        <f>J83-$J$82</f>
        <v>30000</v>
      </c>
      <c r="L83" s="163">
        <f>K83/J$82</f>
        <v>3.1476380659136639E-2</v>
      </c>
      <c r="M83" s="575" t="s">
        <v>502</v>
      </c>
      <c r="N83" s="574"/>
      <c r="O83" s="574"/>
      <c r="Q83" s="123"/>
    </row>
    <row r="84" spans="1:17" ht="16.5" thickBot="1" x14ac:dyDescent="0.3">
      <c r="A84" s="20"/>
      <c r="B84" s="20"/>
      <c r="C84" s="164"/>
      <c r="D84" s="149"/>
      <c r="E84" s="132"/>
      <c r="F84" s="132"/>
      <c r="G84" s="165"/>
      <c r="I84" s="159">
        <v>46143</v>
      </c>
      <c r="J84" s="160">
        <f>G90</f>
        <v>1014856.4688494003</v>
      </c>
      <c r="K84" s="162">
        <f>J84-$J$82</f>
        <v>61760.8659948227</v>
      </c>
      <c r="L84" s="163">
        <f>K84/J$82</f>
        <v>6.4800284263032235E-2</v>
      </c>
      <c r="M84" s="23"/>
      <c r="P84" s="86"/>
      <c r="Q84" s="133"/>
    </row>
    <row r="85" spans="1:17" ht="16.5" thickBot="1" x14ac:dyDescent="0.3">
      <c r="A85" s="132"/>
      <c r="B85" s="166" t="s">
        <v>436</v>
      </c>
      <c r="C85" s="167"/>
      <c r="D85" s="168">
        <v>1.2</v>
      </c>
      <c r="E85" s="132" t="s">
        <v>437</v>
      </c>
      <c r="F85" s="132"/>
      <c r="G85" s="169" t="s">
        <v>438</v>
      </c>
      <c r="H85" s="159"/>
      <c r="I85" s="159">
        <v>46204</v>
      </c>
      <c r="J85" s="601">
        <f>E90</f>
        <v>1043032.7801143822</v>
      </c>
      <c r="K85" s="162">
        <f t="shared" ref="K85:K86" si="7">J85-$J$82</f>
        <v>89937.177259804565</v>
      </c>
      <c r="L85" s="163">
        <f t="shared" ref="L85:L86" si="8">K85/J$82</f>
        <v>9.4363227561261864E-2</v>
      </c>
    </row>
    <row r="86" spans="1:17" ht="15.75" x14ac:dyDescent="0.25">
      <c r="A86" s="132"/>
      <c r="B86" s="132"/>
      <c r="C86" s="132"/>
      <c r="D86" s="170"/>
      <c r="E86" s="132"/>
      <c r="F86" s="132"/>
      <c r="G86" s="132"/>
      <c r="H86" s="159"/>
      <c r="I86" s="159">
        <v>46266</v>
      </c>
      <c r="J86" s="601" t="e">
        <f>#REF!</f>
        <v>#REF!</v>
      </c>
      <c r="K86" s="162" t="e">
        <f t="shared" si="7"/>
        <v>#REF!</v>
      </c>
      <c r="L86" s="163" t="e">
        <f t="shared" si="8"/>
        <v>#REF!</v>
      </c>
    </row>
    <row r="87" spans="1:17" ht="16.5" thickBot="1" x14ac:dyDescent="0.3">
      <c r="A87" s="132"/>
      <c r="B87" s="172" t="s">
        <v>439</v>
      </c>
      <c r="C87" s="172"/>
      <c r="D87" s="173">
        <f>PUNTOSbasicos</f>
        <v>971</v>
      </c>
      <c r="E87" s="132" t="s">
        <v>440</v>
      </c>
      <c r="F87" s="174" t="s">
        <v>441</v>
      </c>
      <c r="G87" s="175">
        <f>puntosproljornada</f>
        <v>0</v>
      </c>
      <c r="H87" s="159"/>
      <c r="I87" s="159"/>
      <c r="J87" s="162"/>
      <c r="K87" s="163"/>
      <c r="L87" s="171"/>
    </row>
    <row r="88" spans="1:17" ht="18.75" thickBot="1" x14ac:dyDescent="0.3">
      <c r="A88" s="132"/>
      <c r="B88" s="20"/>
      <c r="C88" s="20"/>
      <c r="D88" s="176"/>
      <c r="E88" s="612"/>
      <c r="F88" s="174"/>
      <c r="G88" s="612"/>
      <c r="H88" s="159"/>
      <c r="I88" s="177" t="s">
        <v>442</v>
      </c>
      <c r="J88" s="162"/>
      <c r="K88" s="163"/>
      <c r="L88" s="171"/>
    </row>
    <row r="89" spans="1:17" ht="23.25" x14ac:dyDescent="0.35">
      <c r="A89" s="132"/>
      <c r="D89" s="641" t="s">
        <v>526</v>
      </c>
      <c r="E89" s="642">
        <f>E90-E92</f>
        <v>202820.05081320612</v>
      </c>
      <c r="F89" s="610" t="s">
        <v>514</v>
      </c>
      <c r="G89" s="642">
        <f>G90-G92</f>
        <v>197178.8504545691</v>
      </c>
      <c r="H89" s="638" t="s">
        <v>524</v>
      </c>
      <c r="J89" s="610" t="s">
        <v>515</v>
      </c>
      <c r="K89" s="23"/>
      <c r="L89" s="23"/>
      <c r="M89" s="23"/>
      <c r="P89" s="178"/>
    </row>
    <row r="90" spans="1:17" ht="24" thickBot="1" x14ac:dyDescent="0.35">
      <c r="A90" s="132"/>
      <c r="B90" s="132"/>
      <c r="C90" s="132"/>
      <c r="D90" s="179" t="str">
        <f>D151</f>
        <v xml:space="preserve">Líquido </v>
      </c>
      <c r="E90" s="632">
        <f>E119</f>
        <v>1043032.7801143822</v>
      </c>
      <c r="F90" s="635">
        <f>E90/1531473</f>
        <v>0.68106507925009596</v>
      </c>
      <c r="G90" s="639">
        <f>G119</f>
        <v>1014856.4688494003</v>
      </c>
      <c r="H90" s="635">
        <f>G90/1469768</f>
        <v>0.69048752513961409</v>
      </c>
      <c r="I90" s="634">
        <f>I119</f>
        <v>983095.60285457759</v>
      </c>
      <c r="J90" s="181"/>
      <c r="K90" s="180">
        <f>K119</f>
        <v>953095.60285457759</v>
      </c>
      <c r="L90" s="181"/>
    </row>
    <row r="91" spans="1:17" ht="24.75" thickTop="1" thickBot="1" x14ac:dyDescent="0.35">
      <c r="A91" s="132"/>
      <c r="B91" s="132"/>
      <c r="C91" s="132"/>
      <c r="D91" s="182" t="s">
        <v>443</v>
      </c>
      <c r="E91" s="632">
        <f>E121</f>
        <v>1011008.5615649286</v>
      </c>
      <c r="F91" s="635">
        <f>E91/1531473</f>
        <v>0.66015434915596205</v>
      </c>
      <c r="G91" s="639">
        <f>G121</f>
        <v>983722.96614604723</v>
      </c>
      <c r="H91" s="635">
        <f>G91/1469768</f>
        <v>0.66930492849623013</v>
      </c>
      <c r="I91" s="634">
        <f>I121</f>
        <v>952966.13174220955</v>
      </c>
      <c r="J91" s="181"/>
      <c r="K91" s="180">
        <f>K121</f>
        <v>922966.13174220955</v>
      </c>
      <c r="L91" s="181"/>
    </row>
    <row r="92" spans="1:17" ht="24" thickTop="1" x14ac:dyDescent="0.35">
      <c r="A92" s="132"/>
      <c r="B92" s="630" t="s">
        <v>525</v>
      </c>
      <c r="C92" s="640">
        <v>0.19</v>
      </c>
      <c r="D92" s="605" t="str">
        <f>"Con Desc. Reforma "&amp; descreformacargo*100&amp;" %"</f>
        <v>Con Desc. Reforma 19 %</v>
      </c>
      <c r="E92" s="606">
        <f>E119-(E110-E108)*descreformacargo</f>
        <v>840212.72930117603</v>
      </c>
      <c r="F92" s="637">
        <f>E92/1531473</f>
        <v>0.54863045532058097</v>
      </c>
      <c r="G92" s="606">
        <f>G119-(G110-G108)*descreformacargo</f>
        <v>817677.6183948312</v>
      </c>
      <c r="H92" s="637">
        <f>G92/1469768</f>
        <v>0.5563310797315163</v>
      </c>
      <c r="I92" s="606"/>
      <c r="J92" s="604"/>
      <c r="K92" s="602"/>
      <c r="L92" s="603"/>
    </row>
    <row r="93" spans="1:17" ht="23.25" x14ac:dyDescent="0.3">
      <c r="A93" s="132"/>
      <c r="B93" s="600" t="s">
        <v>523</v>
      </c>
      <c r="C93" s="597"/>
      <c r="D93" s="607" t="s">
        <v>516</v>
      </c>
      <c r="E93" s="614">
        <f>0.82*E92/E90</f>
        <v>0.66054917080497633</v>
      </c>
      <c r="F93" s="615"/>
      <c r="G93" s="614">
        <f>0.82*G92/G90</f>
        <v>0.66068027121504191</v>
      </c>
      <c r="H93" s="615"/>
      <c r="I93" s="616"/>
      <c r="J93" s="617"/>
      <c r="K93" s="602"/>
      <c r="L93" s="603"/>
    </row>
    <row r="94" spans="1:17" ht="24" thickBot="1" x14ac:dyDescent="0.4">
      <c r="A94" s="132"/>
      <c r="B94" s="32"/>
      <c r="C94" s="183"/>
      <c r="D94" s="184"/>
      <c r="E94" s="21">
        <v>46204</v>
      </c>
      <c r="F94" s="22">
        <f>aumentojulio26</f>
        <v>6.6049999999999942E-2</v>
      </c>
      <c r="G94" s="21">
        <v>46143</v>
      </c>
      <c r="H94" s="22">
        <v>3.5000000000000003E-2</v>
      </c>
      <c r="I94" s="21">
        <v>46054</v>
      </c>
      <c r="J94" s="22">
        <v>0</v>
      </c>
      <c r="K94" s="21">
        <v>45992</v>
      </c>
      <c r="L94" s="22"/>
    </row>
    <row r="95" spans="1:17" ht="16.5" thickBot="1" x14ac:dyDescent="0.3">
      <c r="A95" s="132"/>
      <c r="B95" s="185">
        <f t="shared" ref="B95:B105" si="9">B154</f>
        <v>400</v>
      </c>
      <c r="C95" s="186"/>
      <c r="D95" s="187" t="str">
        <f t="shared" ref="D95:D105" si="10">D154</f>
        <v>Sueldo básico</v>
      </c>
      <c r="E95" s="188">
        <f t="shared" ref="E95" si="11">E154</f>
        <v>224109.54645407997</v>
      </c>
      <c r="F95" s="189"/>
      <c r="G95" s="188">
        <f t="shared" ref="G95:G108" si="12">G154</f>
        <v>217582.08393599998</v>
      </c>
      <c r="H95" s="189"/>
      <c r="I95" s="188">
        <f t="shared" ref="I95" si="13">I154</f>
        <v>210224.19519761164</v>
      </c>
      <c r="J95" s="189"/>
      <c r="K95" s="188">
        <f t="shared" ref="K95" si="14">K154</f>
        <v>210224.19519761164</v>
      </c>
      <c r="L95" s="189"/>
    </row>
    <row r="96" spans="1:17" ht="16.5" thickBot="1" x14ac:dyDescent="0.3">
      <c r="A96" s="132"/>
      <c r="B96" s="131">
        <f t="shared" si="9"/>
        <v>542</v>
      </c>
      <c r="C96" s="131"/>
      <c r="D96" s="190" t="str">
        <f t="shared" si="10"/>
        <v>Dec 1266/08 Art 4º</v>
      </c>
      <c r="E96" s="191">
        <f t="shared" ref="E96" si="15">E155</f>
        <v>95713.93297065598</v>
      </c>
      <c r="F96" s="189"/>
      <c r="G96" s="191">
        <f t="shared" si="12"/>
        <v>92926.148515199995</v>
      </c>
      <c r="H96" s="189"/>
      <c r="I96" s="191">
        <f t="shared" ref="I96" si="16">I155</f>
        <v>89783.701079762657</v>
      </c>
      <c r="J96" s="189"/>
      <c r="K96" s="191">
        <f t="shared" ref="K96" si="17">K155</f>
        <v>89783.701079762657</v>
      </c>
      <c r="L96" s="189"/>
    </row>
    <row r="97" spans="1:12" ht="16.5" thickBot="1" x14ac:dyDescent="0.3">
      <c r="A97" s="132"/>
      <c r="B97" s="193" t="str">
        <f t="shared" si="9"/>
        <v>424/428</v>
      </c>
      <c r="C97" s="193"/>
      <c r="D97" s="190" t="str">
        <f t="shared" si="10"/>
        <v>Adic directivos</v>
      </c>
      <c r="E97" s="194">
        <f t="shared" ref="E97" si="18">E156</f>
        <v>0</v>
      </c>
      <c r="F97" s="189"/>
      <c r="G97" s="194">
        <f t="shared" si="12"/>
        <v>0</v>
      </c>
      <c r="H97" s="189"/>
      <c r="I97" s="194">
        <f t="shared" ref="I97" si="19">I156</f>
        <v>0</v>
      </c>
      <c r="J97" s="189"/>
      <c r="K97" s="194">
        <f t="shared" ref="K97" si="20">K156</f>
        <v>0</v>
      </c>
      <c r="L97" s="189"/>
    </row>
    <row r="98" spans="1:12" ht="16.5" thickBot="1" x14ac:dyDescent="0.3">
      <c r="A98" s="132"/>
      <c r="B98" s="195">
        <f t="shared" si="9"/>
        <v>430</v>
      </c>
      <c r="C98" s="195"/>
      <c r="D98" s="196" t="str">
        <f t="shared" si="10"/>
        <v>Adicional Nina</v>
      </c>
      <c r="E98" s="197">
        <f t="shared" ref="E98" si="21">E157</f>
        <v>0</v>
      </c>
      <c r="F98" s="189"/>
      <c r="G98" s="197">
        <f t="shared" si="12"/>
        <v>0</v>
      </c>
      <c r="H98" s="189"/>
      <c r="I98" s="197">
        <f t="shared" ref="I98" si="22">I157</f>
        <v>0</v>
      </c>
      <c r="J98" s="189"/>
      <c r="K98" s="197">
        <f t="shared" ref="K98" si="23">K157</f>
        <v>0</v>
      </c>
      <c r="L98" s="189"/>
    </row>
    <row r="99" spans="1:12" ht="16.5" thickBot="1" x14ac:dyDescent="0.3">
      <c r="A99" s="132"/>
      <c r="B99" s="198">
        <f t="shared" si="9"/>
        <v>404</v>
      </c>
      <c r="C99" s="199"/>
      <c r="D99" s="200" t="str">
        <f t="shared" si="10"/>
        <v>Función diferencial</v>
      </c>
      <c r="E99" s="191">
        <f t="shared" ref="E99" si="24">E158</f>
        <v>0</v>
      </c>
      <c r="F99" s="189"/>
      <c r="G99" s="191">
        <f t="shared" si="12"/>
        <v>0</v>
      </c>
      <c r="H99" s="189"/>
      <c r="I99" s="191">
        <f t="shared" ref="I99" si="25">I158</f>
        <v>0</v>
      </c>
      <c r="J99" s="189"/>
      <c r="K99" s="191">
        <f t="shared" ref="K99" si="26">K158</f>
        <v>0</v>
      </c>
      <c r="L99" s="189"/>
    </row>
    <row r="100" spans="1:12" ht="16.5" thickBot="1" x14ac:dyDescent="0.3">
      <c r="A100" s="132"/>
      <c r="B100" s="198">
        <f t="shared" si="9"/>
        <v>406</v>
      </c>
      <c r="C100" s="199"/>
      <c r="D100" s="190" t="str">
        <f t="shared" si="10"/>
        <v>Antigüedad</v>
      </c>
      <c r="E100" s="191">
        <f t="shared" ref="E100" si="27">E159</f>
        <v>408388.17530968314</v>
      </c>
      <c r="F100" s="189"/>
      <c r="G100" s="191">
        <f t="shared" si="12"/>
        <v>397209.87894143997</v>
      </c>
      <c r="H100" s="189"/>
      <c r="I100" s="191">
        <f t="shared" ref="I100" si="28">I159</f>
        <v>384609.47553284914</v>
      </c>
      <c r="J100" s="189"/>
      <c r="K100" s="191">
        <f t="shared" ref="K100" si="29">K159</f>
        <v>384609.47553284914</v>
      </c>
      <c r="L100" s="189"/>
    </row>
    <row r="101" spans="1:12" ht="16.5" thickBot="1" x14ac:dyDescent="0.3">
      <c r="A101" s="132"/>
      <c r="B101" s="198">
        <f t="shared" si="9"/>
        <v>408</v>
      </c>
      <c r="C101" s="199"/>
      <c r="D101" s="190" t="str">
        <f t="shared" si="10"/>
        <v>Bon zona esc</v>
      </c>
      <c r="E101" s="191">
        <f t="shared" ref="E101" si="30">E160</f>
        <v>0</v>
      </c>
      <c r="F101" s="189"/>
      <c r="G101" s="191">
        <f t="shared" si="12"/>
        <v>0</v>
      </c>
      <c r="H101" s="189"/>
      <c r="I101" s="191">
        <f t="shared" ref="I101" si="31">I160</f>
        <v>0</v>
      </c>
      <c r="J101" s="189"/>
      <c r="K101" s="191">
        <f t="shared" ref="K101" si="32">K160</f>
        <v>0</v>
      </c>
      <c r="L101" s="189"/>
    </row>
    <row r="102" spans="1:12" ht="16.5" thickBot="1" x14ac:dyDescent="0.3">
      <c r="A102" s="132"/>
      <c r="B102" s="198">
        <f t="shared" si="9"/>
        <v>416</v>
      </c>
      <c r="C102" s="199"/>
      <c r="D102" s="190" t="str">
        <f t="shared" si="10"/>
        <v>prolong. Jorn - Docente</v>
      </c>
      <c r="E102" s="191">
        <f t="shared" ref="E102" si="33">E161</f>
        <v>0</v>
      </c>
      <c r="F102" s="189"/>
      <c r="G102" s="191">
        <f t="shared" si="12"/>
        <v>0</v>
      </c>
      <c r="H102" s="189"/>
      <c r="I102" s="191">
        <f t="shared" ref="I102" si="34">I161</f>
        <v>0</v>
      </c>
      <c r="J102" s="189"/>
      <c r="K102" s="191">
        <f t="shared" ref="K102" si="35">K161</f>
        <v>0</v>
      </c>
      <c r="L102" s="189"/>
    </row>
    <row r="103" spans="1:12" ht="16.5" thickBot="1" x14ac:dyDescent="0.3">
      <c r="A103" s="132"/>
      <c r="B103" s="198">
        <f t="shared" si="9"/>
        <v>432</v>
      </c>
      <c r="C103" s="199"/>
      <c r="D103" s="190" t="str">
        <f t="shared" si="10"/>
        <v>Dto. 1109/05 (cod 06 act)</v>
      </c>
      <c r="E103" s="191">
        <f>E162</f>
        <v>233299.58432399997</v>
      </c>
      <c r="F103" s="189"/>
      <c r="G103" s="191">
        <f t="shared" si="12"/>
        <v>226504.45079999996</v>
      </c>
      <c r="H103" s="189"/>
      <c r="I103" s="191">
        <f>I162</f>
        <v>218844.87999999998</v>
      </c>
      <c r="J103" s="189"/>
      <c r="K103" s="191">
        <f>K162</f>
        <v>218844.87999999998</v>
      </c>
      <c r="L103" s="189"/>
    </row>
    <row r="104" spans="1:12" ht="16.5" thickBot="1" x14ac:dyDescent="0.3">
      <c r="A104" s="132"/>
      <c r="B104" s="198">
        <f t="shared" si="9"/>
        <v>434</v>
      </c>
      <c r="C104" s="199"/>
      <c r="D104" s="190" t="str">
        <f t="shared" si="10"/>
        <v>Traslado cod 188</v>
      </c>
      <c r="E104" s="191">
        <f t="shared" ref="E104" si="36">E163</f>
        <v>66560.729287034366</v>
      </c>
      <c r="F104" s="189"/>
      <c r="G104" s="191">
        <f t="shared" si="12"/>
        <v>64709.421152460556</v>
      </c>
      <c r="H104" s="189"/>
      <c r="I104" s="191">
        <f t="shared" ref="I104" si="37">I163</f>
        <v>62622.59193537986</v>
      </c>
      <c r="J104" s="189"/>
      <c r="K104" s="191">
        <f t="shared" ref="K104" si="38">K163</f>
        <v>62622.59193537986</v>
      </c>
      <c r="L104" s="189"/>
    </row>
    <row r="105" spans="1:12" ht="17.25" thickTop="1" thickBot="1" x14ac:dyDescent="0.3">
      <c r="A105" s="132"/>
      <c r="B105" s="201">
        <f t="shared" si="9"/>
        <v>437</v>
      </c>
      <c r="C105" s="202"/>
      <c r="D105" s="203" t="str">
        <f t="shared" si="10"/>
        <v>DTO. N1462/18 DOCENT</v>
      </c>
      <c r="E105" s="204">
        <f t="shared" ref="E105" si="39">E164</f>
        <v>18901.983303000001</v>
      </c>
      <c r="F105" s="189"/>
      <c r="G105" s="204">
        <f t="shared" si="12"/>
        <v>18351.4401</v>
      </c>
      <c r="H105" s="189"/>
      <c r="I105" s="204">
        <f t="shared" ref="I105" si="40">I164</f>
        <v>17730.86</v>
      </c>
      <c r="J105" s="189"/>
      <c r="K105" s="204">
        <f t="shared" ref="K105" si="41">K164</f>
        <v>17730.86</v>
      </c>
      <c r="L105" s="189"/>
    </row>
    <row r="106" spans="1:12" ht="21" thickBot="1" x14ac:dyDescent="0.35">
      <c r="A106" s="132"/>
      <c r="B106" s="205">
        <v>1622</v>
      </c>
      <c r="C106" s="206">
        <v>1</v>
      </c>
      <c r="D106" s="207" t="s">
        <v>444</v>
      </c>
      <c r="E106" s="208">
        <f>E165</f>
        <v>20500</v>
      </c>
      <c r="F106" s="209"/>
      <c r="G106" s="208">
        <f t="shared" si="12"/>
        <v>20500</v>
      </c>
      <c r="H106" s="209"/>
      <c r="I106" s="208">
        <f>I165</f>
        <v>20500</v>
      </c>
      <c r="J106" s="209"/>
      <c r="K106" s="208">
        <f>K165</f>
        <v>20500</v>
      </c>
      <c r="L106" s="209"/>
    </row>
    <row r="107" spans="1:12" ht="20.25" x14ac:dyDescent="0.3">
      <c r="A107" s="132"/>
      <c r="B107" s="618"/>
      <c r="C107" s="619"/>
      <c r="D107" s="620" t="s">
        <v>518</v>
      </c>
      <c r="E107" s="621">
        <f>E166</f>
        <v>0</v>
      </c>
      <c r="F107" s="567"/>
      <c r="G107" s="621">
        <f t="shared" si="12"/>
        <v>0</v>
      </c>
      <c r="H107" s="567"/>
      <c r="I107" s="621">
        <f>I166</f>
        <v>0</v>
      </c>
      <c r="J107" s="567"/>
      <c r="K107" s="621">
        <f>K166</f>
        <v>0</v>
      </c>
      <c r="L107" s="567"/>
    </row>
    <row r="108" spans="1:12" ht="21" thickBot="1" x14ac:dyDescent="0.35">
      <c r="A108" s="132"/>
      <c r="B108" s="569">
        <v>1650</v>
      </c>
      <c r="C108" s="568">
        <v>1</v>
      </c>
      <c r="D108" s="570" t="s">
        <v>501</v>
      </c>
      <c r="E108" s="571">
        <f>E167</f>
        <v>30000</v>
      </c>
      <c r="F108" s="567"/>
      <c r="G108" s="571">
        <f t="shared" si="12"/>
        <v>30000</v>
      </c>
      <c r="H108" s="567"/>
      <c r="I108" s="571">
        <f>I167</f>
        <v>30000</v>
      </c>
      <c r="J108" s="567"/>
      <c r="K108" s="571">
        <f>K167</f>
        <v>0</v>
      </c>
      <c r="L108" s="567"/>
    </row>
    <row r="109" spans="1:12" ht="16.5" thickBot="1" x14ac:dyDescent="0.3">
      <c r="A109" s="132"/>
      <c r="B109" s="131"/>
      <c r="C109" s="131"/>
      <c r="D109" s="131" t="str">
        <f t="shared" ref="D109:D117" si="42">D168</f>
        <v>Otros</v>
      </c>
      <c r="E109" s="210">
        <v>0</v>
      </c>
      <c r="F109" s="189"/>
      <c r="G109" s="210">
        <v>0</v>
      </c>
      <c r="H109" s="189"/>
      <c r="I109" s="210">
        <v>0</v>
      </c>
      <c r="J109" s="189"/>
      <c r="K109" s="210">
        <v>0</v>
      </c>
      <c r="L109" s="189"/>
    </row>
    <row r="110" spans="1:12" ht="18" x14ac:dyDescent="0.25">
      <c r="A110" s="132"/>
      <c r="B110" s="131"/>
      <c r="C110" s="131"/>
      <c r="D110" s="212" t="str">
        <f t="shared" si="42"/>
        <v>Haberes</v>
      </c>
      <c r="E110" s="213">
        <f t="shared" ref="E110" si="43">E169</f>
        <v>1097473.9516484533</v>
      </c>
      <c r="F110" s="189"/>
      <c r="G110" s="213">
        <f t="shared" ref="G110:G117" si="44">G169</f>
        <v>1067783.4234451004</v>
      </c>
      <c r="H110" s="189"/>
      <c r="I110" s="213">
        <f t="shared" ref="I110" si="45">I169</f>
        <v>1034315.7037456033</v>
      </c>
      <c r="J110" s="189"/>
      <c r="K110" s="213">
        <f t="shared" ref="K110" si="46">K169</f>
        <v>1004315.7037456033</v>
      </c>
      <c r="L110" s="189"/>
    </row>
    <row r="111" spans="1:12" ht="15.75" x14ac:dyDescent="0.25">
      <c r="A111" s="132"/>
      <c r="B111" s="131">
        <f>B170</f>
        <v>703</v>
      </c>
      <c r="C111" s="214">
        <f>C170</f>
        <v>2.5000000000000001E-3</v>
      </c>
      <c r="D111" s="215" t="str">
        <f t="shared" si="42"/>
        <v>Federación de  jubil</v>
      </c>
      <c r="E111" s="216">
        <f t="shared" ref="E111" si="47">E170</f>
        <v>2668.6848791211332</v>
      </c>
      <c r="F111" s="217"/>
      <c r="G111" s="216">
        <f t="shared" si="44"/>
        <v>2594.4585586127509</v>
      </c>
      <c r="H111" s="217"/>
      <c r="I111" s="216">
        <f t="shared" ref="I111" si="48">I170</f>
        <v>2510.7892593640086</v>
      </c>
      <c r="J111" s="217"/>
      <c r="K111" s="216">
        <f t="shared" ref="K111" si="49">K170</f>
        <v>2510.7892593640086</v>
      </c>
      <c r="L111" s="217"/>
    </row>
    <row r="112" spans="1:12" ht="15.75" x14ac:dyDescent="0.25">
      <c r="A112" s="132"/>
      <c r="B112" s="198">
        <f>B171</f>
        <v>707</v>
      </c>
      <c r="C112" s="218">
        <f>C171</f>
        <v>0.03</v>
      </c>
      <c r="D112" s="190" t="str">
        <f t="shared" si="42"/>
        <v>Aporte IOSPER</v>
      </c>
      <c r="E112" s="219">
        <f t="shared" ref="E112" si="50">E171</f>
        <v>32024.218549453595</v>
      </c>
      <c r="F112" s="192"/>
      <c r="G112" s="219">
        <f t="shared" si="44"/>
        <v>31133.502703353013</v>
      </c>
      <c r="H112" s="192"/>
      <c r="I112" s="219">
        <f t="shared" ref="I112" si="51">I171</f>
        <v>30129.471112368097</v>
      </c>
      <c r="J112" s="192"/>
      <c r="K112" s="219">
        <f t="shared" ref="K112" si="52">K171</f>
        <v>30129.471112368097</v>
      </c>
      <c r="L112" s="192"/>
    </row>
    <row r="113" spans="1:12" ht="15.75" x14ac:dyDescent="0.25">
      <c r="A113" s="132"/>
      <c r="B113" s="198">
        <f>B172</f>
        <v>709</v>
      </c>
      <c r="C113" s="220">
        <v>1.5E-3</v>
      </c>
      <c r="D113" s="190" t="str">
        <f t="shared" si="42"/>
        <v>Seguro ley 3011</v>
      </c>
      <c r="E113" s="219">
        <f t="shared" ref="E113" si="53">E172</f>
        <v>1601.2109274726799</v>
      </c>
      <c r="F113" s="192"/>
      <c r="G113" s="219">
        <f t="shared" si="44"/>
        <v>1556.6751351676508</v>
      </c>
      <c r="H113" s="192"/>
      <c r="I113" s="219">
        <f t="shared" ref="I113" si="54">I172</f>
        <v>1506.473555618405</v>
      </c>
      <c r="J113" s="192"/>
      <c r="K113" s="219">
        <f t="shared" ref="K113" si="55">K172</f>
        <v>1506.473555618405</v>
      </c>
      <c r="L113" s="192"/>
    </row>
    <row r="114" spans="1:12" ht="15.75" x14ac:dyDescent="0.25">
      <c r="A114" s="132"/>
      <c r="B114" s="198">
        <f>B173</f>
        <v>713</v>
      </c>
      <c r="C114" s="221">
        <f>C173</f>
        <v>7.0000000000000001E-3</v>
      </c>
      <c r="D114" s="190" t="str">
        <f t="shared" si="42"/>
        <v>Serv Sepelio IAPS</v>
      </c>
      <c r="E114" s="219">
        <f t="shared" ref="E114" si="56">E173</f>
        <v>7472.3176615391731</v>
      </c>
      <c r="F114" s="192"/>
      <c r="G114" s="219">
        <f t="shared" si="44"/>
        <v>7264.4839641157032</v>
      </c>
      <c r="H114" s="192"/>
      <c r="I114" s="219">
        <f t="shared" ref="I114" si="57">I173</f>
        <v>7030.2099262192232</v>
      </c>
      <c r="J114" s="192"/>
      <c r="K114" s="219">
        <f t="shared" ref="K114" si="58">K173</f>
        <v>7030.2099262192232</v>
      </c>
      <c r="L114" s="192"/>
    </row>
    <row r="115" spans="1:12" ht="18" x14ac:dyDescent="0.25">
      <c r="A115" s="132"/>
      <c r="B115" s="198">
        <f>B174</f>
        <v>787</v>
      </c>
      <c r="C115" s="587">
        <v>0.01</v>
      </c>
      <c r="D115" s="190" t="str">
        <f t="shared" si="42"/>
        <v>Desc AGMER 1 %</v>
      </c>
      <c r="E115" s="219">
        <f t="shared" ref="E115" si="59">E174</f>
        <v>10674.739516484533</v>
      </c>
      <c r="F115" s="192"/>
      <c r="G115" s="219">
        <f t="shared" si="44"/>
        <v>10377.834234451004</v>
      </c>
      <c r="H115" s="192"/>
      <c r="I115" s="219">
        <f t="shared" ref="I115" si="60">I174</f>
        <v>10043.157037456034</v>
      </c>
      <c r="J115" s="192"/>
      <c r="K115" s="219">
        <f t="shared" ref="K115" si="61">K174</f>
        <v>10043.157037456034</v>
      </c>
      <c r="L115" s="192"/>
    </row>
    <row r="116" spans="1:12" ht="16.5" thickBot="1" x14ac:dyDescent="0.3">
      <c r="A116" s="132"/>
      <c r="B116" s="132"/>
      <c r="C116" s="202"/>
      <c r="D116" s="222" t="str">
        <f t="shared" si="42"/>
        <v>Otros descuentos</v>
      </c>
      <c r="E116" s="223">
        <f t="shared" ref="E116" si="62">E175</f>
        <v>0</v>
      </c>
      <c r="F116" s="224"/>
      <c r="G116" s="223">
        <f t="shared" si="44"/>
        <v>0</v>
      </c>
      <c r="H116" s="224"/>
      <c r="I116" s="223">
        <f t="shared" ref="I116" si="63">I175</f>
        <v>0</v>
      </c>
      <c r="J116" s="224"/>
      <c r="K116" s="223">
        <f t="shared" ref="K116" si="64">K175</f>
        <v>0</v>
      </c>
      <c r="L116" s="224"/>
    </row>
    <row r="117" spans="1:12" ht="16.5" thickBot="1" x14ac:dyDescent="0.3">
      <c r="A117" s="132"/>
      <c r="B117" s="132"/>
      <c r="C117" s="132"/>
      <c r="D117" s="225" t="str">
        <f t="shared" si="42"/>
        <v>Descuentos</v>
      </c>
      <c r="E117" s="226">
        <f t="shared" ref="E117" si="65">E176</f>
        <v>54441.171534071109</v>
      </c>
      <c r="F117" s="227"/>
      <c r="G117" s="226">
        <f t="shared" si="44"/>
        <v>52926.954595700117</v>
      </c>
      <c r="H117" s="227"/>
      <c r="I117" s="226">
        <f t="shared" ref="I117" si="66">I176</f>
        <v>51220.100891025766</v>
      </c>
      <c r="J117" s="227"/>
      <c r="K117" s="226">
        <f t="shared" ref="K117" si="67">K176</f>
        <v>51220.100891025766</v>
      </c>
      <c r="L117" s="227"/>
    </row>
    <row r="118" spans="1:12" ht="16.5" thickBot="1" x14ac:dyDescent="0.3">
      <c r="A118" s="132"/>
      <c r="B118" s="20"/>
      <c r="C118" s="228"/>
      <c r="D118" s="229"/>
      <c r="E118" s="230"/>
      <c r="F118" s="231"/>
      <c r="G118" s="230"/>
      <c r="H118" s="231"/>
      <c r="I118" s="230"/>
      <c r="J118" s="231"/>
      <c r="K118" s="230"/>
      <c r="L118" s="231"/>
    </row>
    <row r="119" spans="1:12" ht="24" thickBot="1" x14ac:dyDescent="0.4">
      <c r="A119" s="132"/>
      <c r="B119" s="232"/>
      <c r="C119" s="233"/>
      <c r="D119" s="234" t="str">
        <f>D178</f>
        <v>Líquido</v>
      </c>
      <c r="E119" s="235">
        <f>E178</f>
        <v>1043032.7801143822</v>
      </c>
      <c r="F119" s="236"/>
      <c r="G119" s="235">
        <f>G178</f>
        <v>1014856.4688494003</v>
      </c>
      <c r="H119" s="236"/>
      <c r="I119" s="235">
        <f>I178</f>
        <v>983095.60285457759</v>
      </c>
      <c r="J119" s="236"/>
      <c r="K119" s="235">
        <f>K178</f>
        <v>953095.60285457759</v>
      </c>
      <c r="L119" s="236"/>
    </row>
    <row r="120" spans="1:12" ht="15.75" x14ac:dyDescent="0.25">
      <c r="A120" s="132"/>
      <c r="B120" s="232"/>
      <c r="C120" s="232"/>
      <c r="D120" s="237" t="s">
        <v>445</v>
      </c>
      <c r="E120" s="219">
        <f>E179</f>
        <v>32024.218549453595</v>
      </c>
      <c r="F120" s="219"/>
      <c r="G120" s="219">
        <f>G179</f>
        <v>31133.502703353013</v>
      </c>
      <c r="H120" s="219"/>
      <c r="I120" s="219">
        <f>I179</f>
        <v>30129.471112368097</v>
      </c>
      <c r="J120" s="219"/>
      <c r="K120" s="219">
        <f>K179</f>
        <v>30129.471112368097</v>
      </c>
      <c r="L120" s="219"/>
    </row>
    <row r="121" spans="1:12" ht="23.25" x14ac:dyDescent="0.35">
      <c r="A121" s="132"/>
      <c r="B121" s="232"/>
      <c r="C121" s="232"/>
      <c r="D121" s="238" t="s">
        <v>446</v>
      </c>
      <c r="E121" s="239">
        <f>E180</f>
        <v>1011008.5615649286</v>
      </c>
      <c r="F121" s="239"/>
      <c r="G121" s="239">
        <f>G180</f>
        <v>983722.96614604723</v>
      </c>
      <c r="H121" s="239"/>
      <c r="I121" s="239">
        <f>I180</f>
        <v>952966.13174220955</v>
      </c>
      <c r="J121" s="239"/>
      <c r="K121" s="239">
        <f>K180</f>
        <v>922966.13174220955</v>
      </c>
      <c r="L121" s="239"/>
    </row>
    <row r="122" spans="1:12" ht="21" thickBot="1" x14ac:dyDescent="0.35">
      <c r="A122" s="132"/>
      <c r="B122" s="232"/>
      <c r="C122" s="232"/>
      <c r="D122" s="237"/>
      <c r="E122" s="240"/>
      <c r="F122" s="241"/>
      <c r="G122" s="240"/>
      <c r="H122" s="241"/>
      <c r="I122" s="240"/>
      <c r="J122" s="241"/>
      <c r="K122" s="240"/>
      <c r="L122" s="241"/>
    </row>
    <row r="123" spans="1:12" ht="21" thickTop="1" x14ac:dyDescent="0.3">
      <c r="A123" s="132"/>
      <c r="B123" s="132"/>
      <c r="C123" s="164"/>
      <c r="D123" s="242" t="str">
        <f>D182</f>
        <v>Aumento mensual</v>
      </c>
      <c r="E123" s="243">
        <f>E182</f>
        <v>28176.311264981865</v>
      </c>
      <c r="F123" s="244"/>
      <c r="G123" s="243">
        <f>G182</f>
        <v>31760.8659948227</v>
      </c>
      <c r="H123" s="244"/>
      <c r="I123" s="243">
        <f>I182</f>
        <v>30000</v>
      </c>
      <c r="J123" s="244"/>
      <c r="K123" s="243">
        <f>K182</f>
        <v>0</v>
      </c>
      <c r="L123" s="244"/>
    </row>
    <row r="124" spans="1:12" ht="21" thickBot="1" x14ac:dyDescent="0.35">
      <c r="A124" s="132"/>
      <c r="B124" s="245"/>
      <c r="C124" s="164"/>
      <c r="D124" s="246" t="str">
        <f>D183</f>
        <v>Aum porcentual</v>
      </c>
      <c r="E124" s="247">
        <f>E183</f>
        <v>2.7763838660778237E-2</v>
      </c>
      <c r="F124" s="248"/>
      <c r="G124" s="247">
        <f>G183</f>
        <v>3.2306996290696319E-2</v>
      </c>
      <c r="H124" s="248"/>
      <c r="I124" s="247">
        <f>I183</f>
        <v>3.1476380659136639E-2</v>
      </c>
      <c r="J124" s="248"/>
      <c r="K124" s="247">
        <f>K183</f>
        <v>0</v>
      </c>
      <c r="L124" s="248"/>
    </row>
    <row r="125" spans="1:12" ht="21.75" thickTop="1" thickBot="1" x14ac:dyDescent="0.35">
      <c r="A125" s="132"/>
      <c r="B125" s="132"/>
      <c r="C125" s="164"/>
      <c r="D125" s="149">
        <f>D184</f>
        <v>0</v>
      </c>
      <c r="E125" s="249"/>
      <c r="F125" s="250"/>
      <c r="G125" s="249"/>
      <c r="H125" s="250"/>
      <c r="I125" s="249"/>
      <c r="J125" s="250"/>
      <c r="K125" s="249"/>
      <c r="L125" s="250"/>
    </row>
    <row r="126" spans="1:12" ht="21" thickBot="1" x14ac:dyDescent="0.35">
      <c r="A126" s="132"/>
      <c r="B126" s="132"/>
      <c r="C126" s="164"/>
      <c r="D126" s="251" t="s">
        <v>447</v>
      </c>
      <c r="E126" s="252">
        <f>E185</f>
        <v>27285.595418881392</v>
      </c>
      <c r="F126" s="253"/>
      <c r="G126" s="252">
        <f>G185</f>
        <v>30756.834403837682</v>
      </c>
      <c r="H126" s="253"/>
      <c r="I126" s="252">
        <f>I185</f>
        <v>30000</v>
      </c>
      <c r="J126" s="253"/>
      <c r="K126" s="252">
        <f>K185</f>
        <v>0</v>
      </c>
      <c r="L126" s="253"/>
    </row>
    <row r="127" spans="1:12" ht="21" thickBot="1" x14ac:dyDescent="0.35">
      <c r="A127" s="132"/>
      <c r="B127" s="132"/>
      <c r="C127" s="164"/>
      <c r="D127" s="251" t="s">
        <v>448</v>
      </c>
      <c r="E127" s="254">
        <f>E186</f>
        <v>2.7737072690067165E-2</v>
      </c>
      <c r="F127" s="253"/>
      <c r="G127" s="254">
        <f>G186</f>
        <v>3.2274845222052269E-2</v>
      </c>
      <c r="H127" s="253"/>
      <c r="I127" s="254">
        <f>I186</f>
        <v>3.2503901246486035E-2</v>
      </c>
      <c r="J127" s="253"/>
      <c r="K127" s="254">
        <f>K186</f>
        <v>0</v>
      </c>
      <c r="L127" s="253"/>
    </row>
    <row r="128" spans="1:12" ht="21" thickBot="1" x14ac:dyDescent="0.35">
      <c r="A128" s="132"/>
      <c r="B128" s="132"/>
      <c r="C128" s="164"/>
      <c r="D128" s="149"/>
      <c r="E128" s="249"/>
      <c r="F128" s="250"/>
      <c r="G128" s="249"/>
      <c r="H128" s="250"/>
      <c r="I128" s="249"/>
      <c r="J128" s="250"/>
      <c r="K128" s="249"/>
      <c r="L128" s="250"/>
    </row>
    <row r="129" spans="1:12" ht="21" thickTop="1" x14ac:dyDescent="0.3">
      <c r="A129" s="132"/>
      <c r="B129" s="132"/>
      <c r="C129" s="164"/>
      <c r="D129" s="255" t="str">
        <f>D188</f>
        <v>Aumento acumulado anual</v>
      </c>
      <c r="E129" s="256">
        <f t="shared" ref="E129" si="68">E188</f>
        <v>89937.177259804565</v>
      </c>
      <c r="F129" s="244"/>
      <c r="G129" s="256">
        <f>G188</f>
        <v>61760.8659948227</v>
      </c>
      <c r="H129" s="244"/>
      <c r="I129" s="256">
        <f t="shared" ref="I129" si="69">I188</f>
        <v>30000</v>
      </c>
      <c r="J129" s="244"/>
      <c r="K129" s="256">
        <f t="shared" ref="K129" si="70">K188</f>
        <v>0</v>
      </c>
      <c r="L129" s="244"/>
    </row>
    <row r="130" spans="1:12" ht="21" thickBot="1" x14ac:dyDescent="0.35">
      <c r="A130" s="132"/>
      <c r="B130" s="132"/>
      <c r="C130" s="164"/>
      <c r="D130" s="257" t="str">
        <f>D189</f>
        <v>Acumulado porcentual</v>
      </c>
      <c r="E130" s="258">
        <f t="shared" ref="E130" si="71">E189</f>
        <v>9.4363227561261864E-2</v>
      </c>
      <c r="F130" s="248"/>
      <c r="G130" s="258">
        <f>G189</f>
        <v>6.4800284263032235E-2</v>
      </c>
      <c r="H130" s="248"/>
      <c r="I130" s="258">
        <f t="shared" ref="I130" si="72">I189</f>
        <v>3.1476380659136639E-2</v>
      </c>
      <c r="J130" s="248"/>
      <c r="K130" s="258">
        <f t="shared" ref="K130" si="73">K189</f>
        <v>0</v>
      </c>
      <c r="L130" s="248"/>
    </row>
    <row r="131" spans="1:12" ht="17.25" thickTop="1" thickBot="1" x14ac:dyDescent="0.3">
      <c r="A131" s="132"/>
      <c r="B131" s="132"/>
      <c r="C131" s="164"/>
      <c r="D131" s="259">
        <f>D190</f>
        <v>0</v>
      </c>
      <c r="E131" s="260">
        <f t="shared" ref="E131" si="74">E190</f>
        <v>0</v>
      </c>
      <c r="F131" s="261"/>
      <c r="G131" s="260">
        <f>G190</f>
        <v>0</v>
      </c>
      <c r="H131" s="261"/>
      <c r="I131" s="260">
        <f t="shared" ref="I131" si="75">I190</f>
        <v>0</v>
      </c>
      <c r="J131" s="261"/>
      <c r="K131" s="260">
        <f t="shared" ref="K131" si="76">K190</f>
        <v>0</v>
      </c>
      <c r="L131" s="261"/>
    </row>
    <row r="132" spans="1:12" ht="21" thickBot="1" x14ac:dyDescent="0.35">
      <c r="A132" s="132"/>
      <c r="B132" s="132"/>
      <c r="C132" s="164"/>
      <c r="D132" s="262" t="s">
        <v>449</v>
      </c>
      <c r="E132" s="252">
        <f>E191</f>
        <v>88042.429822719074</v>
      </c>
      <c r="F132" s="263"/>
      <c r="G132" s="252">
        <f>G191</f>
        <v>60756.834403837682</v>
      </c>
      <c r="H132" s="263"/>
      <c r="I132" s="252">
        <f>I191</f>
        <v>30000</v>
      </c>
      <c r="J132" s="263"/>
      <c r="K132" s="252">
        <f>K191</f>
        <v>0</v>
      </c>
      <c r="L132" s="263"/>
    </row>
    <row r="133" spans="1:12" ht="21" thickBot="1" x14ac:dyDescent="0.35">
      <c r="A133" s="132"/>
      <c r="B133" s="132"/>
      <c r="C133" s="164"/>
      <c r="D133" s="262" t="s">
        <v>450</v>
      </c>
      <c r="E133" s="264">
        <f>E192</f>
        <v>9.539074814861126E-2</v>
      </c>
      <c r="F133" s="263"/>
      <c r="G133" s="264">
        <f>G192</f>
        <v>6.5827804850381505E-2</v>
      </c>
      <c r="H133" s="263"/>
      <c r="I133" s="264">
        <f>I192</f>
        <v>3.2503901246486035E-2</v>
      </c>
      <c r="J133" s="263"/>
      <c r="K133" s="264">
        <f>K192</f>
        <v>0</v>
      </c>
      <c r="L133" s="263"/>
    </row>
    <row r="134" spans="1:12" ht="16.5" thickBot="1" x14ac:dyDescent="0.3">
      <c r="A134" s="132"/>
      <c r="B134" s="132"/>
      <c r="C134" s="164"/>
      <c r="D134" s="259"/>
      <c r="E134" s="260"/>
      <c r="F134" s="261"/>
      <c r="G134" s="260"/>
      <c r="H134" s="261"/>
      <c r="I134" s="260"/>
      <c r="J134" s="261"/>
      <c r="K134" s="260"/>
      <c r="L134" s="261"/>
    </row>
    <row r="135" spans="1:12" ht="21" thickTop="1" x14ac:dyDescent="0.3">
      <c r="A135" s="132"/>
      <c r="B135" s="132"/>
      <c r="C135" s="164"/>
      <c r="D135" s="265" t="str">
        <f>D194</f>
        <v>MEDIO AGUINALDO</v>
      </c>
      <c r="E135" s="266"/>
      <c r="F135" s="267"/>
      <c r="G135" s="266"/>
      <c r="H135" s="267"/>
      <c r="I135" s="266"/>
      <c r="J135" s="267"/>
      <c r="K135" s="266"/>
      <c r="L135" s="267"/>
    </row>
    <row r="136" spans="1:12" ht="15.75" x14ac:dyDescent="0.25">
      <c r="A136" s="132"/>
      <c r="B136" s="132"/>
      <c r="C136" s="164"/>
      <c r="D136" s="268"/>
      <c r="E136" s="269"/>
      <c r="F136" s="270"/>
      <c r="G136" s="269"/>
      <c r="H136" s="270"/>
      <c r="I136" s="269"/>
      <c r="J136" s="270"/>
      <c r="K136" s="269"/>
      <c r="L136" s="270"/>
    </row>
    <row r="137" spans="1:12" ht="15.75" x14ac:dyDescent="0.25">
      <c r="A137" s="132"/>
      <c r="B137" s="132"/>
      <c r="C137" s="164"/>
      <c r="D137" s="271" t="str">
        <f>D196</f>
        <v>Código 550</v>
      </c>
      <c r="E137" s="272">
        <f>E196</f>
        <v>548736.97582422663</v>
      </c>
      <c r="F137" s="273"/>
      <c r="G137" s="272">
        <f>G196</f>
        <v>533891.71172255022</v>
      </c>
      <c r="H137" s="273"/>
      <c r="I137" s="272">
        <f>I196</f>
        <v>517157.85187280166</v>
      </c>
      <c r="J137" s="273"/>
      <c r="K137" s="272">
        <f>K196</f>
        <v>502157.85187280166</v>
      </c>
      <c r="L137" s="273"/>
    </row>
    <row r="138" spans="1:12" ht="15.75" x14ac:dyDescent="0.25">
      <c r="A138" s="132"/>
      <c r="B138" s="132"/>
      <c r="C138" s="132"/>
      <c r="D138" s="274"/>
      <c r="E138" s="269"/>
      <c r="F138" s="270"/>
      <c r="G138" s="269"/>
      <c r="H138" s="270"/>
      <c r="I138" s="269"/>
      <c r="J138" s="270"/>
      <c r="K138" s="269"/>
      <c r="L138" s="270"/>
    </row>
    <row r="139" spans="1:12" ht="15.75" x14ac:dyDescent="0.25">
      <c r="A139" s="132"/>
      <c r="B139" s="132"/>
      <c r="C139" s="132"/>
      <c r="D139" s="271" t="str">
        <f t="shared" ref="D139:D145" si="77">D198</f>
        <v>Descuentos</v>
      </c>
      <c r="E139" s="269"/>
      <c r="F139" s="273"/>
      <c r="G139" s="269"/>
      <c r="H139" s="273"/>
      <c r="I139" s="269"/>
      <c r="J139" s="273"/>
      <c r="K139" s="269"/>
      <c r="L139" s="273"/>
    </row>
    <row r="140" spans="1:12" ht="15.75" x14ac:dyDescent="0.25">
      <c r="A140" s="132"/>
      <c r="B140" s="198">
        <f>B199</f>
        <v>703</v>
      </c>
      <c r="C140" s="214">
        <f>C199</f>
        <v>2.5000000000000001E-3</v>
      </c>
      <c r="D140" s="275" t="str">
        <f t="shared" si="77"/>
        <v>Federación de  jubil</v>
      </c>
      <c r="E140" s="276">
        <f t="shared" ref="E140" si="78">E199</f>
        <v>1371.8424395605666</v>
      </c>
      <c r="F140" s="277"/>
      <c r="G140" s="276">
        <f t="shared" ref="G140:G145" si="79">G199</f>
        <v>1334.7292793063755</v>
      </c>
      <c r="H140" s="277"/>
      <c r="I140" s="276">
        <f t="shared" ref="I140" si="80">I199</f>
        <v>1292.8946296820043</v>
      </c>
      <c r="J140" s="277"/>
      <c r="K140" s="276">
        <f t="shared" ref="K140" si="81">K199</f>
        <v>1255.3946296820043</v>
      </c>
      <c r="L140" s="277"/>
    </row>
    <row r="141" spans="1:12" ht="15.75" x14ac:dyDescent="0.25">
      <c r="A141" s="132"/>
      <c r="B141" s="198">
        <f>B200</f>
        <v>707</v>
      </c>
      <c r="C141" s="218">
        <f>C200</f>
        <v>0.03</v>
      </c>
      <c r="D141" s="278" t="str">
        <f t="shared" si="77"/>
        <v>Aporte IOSPER</v>
      </c>
      <c r="E141" s="276">
        <f t="shared" ref="E141" si="82">E200</f>
        <v>16462.109274726798</v>
      </c>
      <c r="F141" s="279"/>
      <c r="G141" s="276">
        <f t="shared" si="79"/>
        <v>16016.751351676507</v>
      </c>
      <c r="H141" s="279"/>
      <c r="I141" s="276">
        <f t="shared" ref="I141" si="83">I200</f>
        <v>15514.735556184049</v>
      </c>
      <c r="J141" s="279"/>
      <c r="K141" s="276">
        <f t="shared" ref="K141" si="84">K200</f>
        <v>15064.735556184049</v>
      </c>
      <c r="L141" s="279"/>
    </row>
    <row r="142" spans="1:12" ht="15.75" x14ac:dyDescent="0.25">
      <c r="A142" s="132"/>
      <c r="B142" s="198">
        <f>B201</f>
        <v>709</v>
      </c>
      <c r="C142" s="220">
        <v>1.5E-3</v>
      </c>
      <c r="D142" s="278" t="str">
        <f t="shared" si="77"/>
        <v>Seguro ley 3011</v>
      </c>
      <c r="E142" s="276">
        <f t="shared" ref="E142" si="85">E201</f>
        <v>823.10546373633997</v>
      </c>
      <c r="F142" s="279"/>
      <c r="G142" s="276">
        <f t="shared" si="79"/>
        <v>800.83756758382538</v>
      </c>
      <c r="H142" s="279"/>
      <c r="I142" s="276">
        <f t="shared" ref="I142" si="86">I201</f>
        <v>775.73677780920252</v>
      </c>
      <c r="J142" s="279"/>
      <c r="K142" s="276">
        <f t="shared" ref="K142" si="87">K201</f>
        <v>753.23677780920252</v>
      </c>
      <c r="L142" s="279"/>
    </row>
    <row r="143" spans="1:12" ht="15.75" x14ac:dyDescent="0.25">
      <c r="A143" s="132"/>
      <c r="B143" s="198">
        <f>B202</f>
        <v>713</v>
      </c>
      <c r="C143" s="221">
        <f>C202</f>
        <v>7.0000000000000001E-3</v>
      </c>
      <c r="D143" s="278" t="str">
        <f t="shared" si="77"/>
        <v>Serv Sepelio IAPS</v>
      </c>
      <c r="E143" s="276">
        <f t="shared" ref="E143" si="88">E202</f>
        <v>3841.1588307695865</v>
      </c>
      <c r="F143" s="279"/>
      <c r="G143" s="276">
        <f t="shared" si="79"/>
        <v>3737.2419820578516</v>
      </c>
      <c r="H143" s="279"/>
      <c r="I143" s="276">
        <f t="shared" ref="I143" si="89">I202</f>
        <v>3620.1049631096116</v>
      </c>
      <c r="J143" s="279"/>
      <c r="K143" s="276">
        <f t="shared" ref="K143" si="90">K202</f>
        <v>3515.1049631096116</v>
      </c>
      <c r="L143" s="279"/>
    </row>
    <row r="144" spans="1:12" ht="18.75" thickBot="1" x14ac:dyDescent="0.3">
      <c r="A144" s="132"/>
      <c r="B144" s="198">
        <f>B203</f>
        <v>787</v>
      </c>
      <c r="C144" s="587">
        <f>C115</f>
        <v>0.01</v>
      </c>
      <c r="D144" s="278" t="str">
        <f t="shared" si="77"/>
        <v>Desc AGMER 1 %</v>
      </c>
      <c r="E144" s="276">
        <f t="shared" ref="E144" si="91">E203</f>
        <v>5487.3697582422665</v>
      </c>
      <c r="F144" s="279"/>
      <c r="G144" s="276">
        <f t="shared" si="79"/>
        <v>5338.9171172255019</v>
      </c>
      <c r="H144" s="279"/>
      <c r="I144" s="276">
        <f t="shared" ref="I144" si="92">I203</f>
        <v>5171.5785187280171</v>
      </c>
      <c r="J144" s="279"/>
      <c r="K144" s="276">
        <f>K203</f>
        <v>5021.5785187280171</v>
      </c>
      <c r="L144" s="279"/>
    </row>
    <row r="145" spans="1:12" ht="16.5" thickBot="1" x14ac:dyDescent="0.3">
      <c r="A145" s="132"/>
      <c r="B145" s="132"/>
      <c r="C145" s="132"/>
      <c r="D145" s="280" t="str">
        <f t="shared" si="77"/>
        <v>Total Descuentos</v>
      </c>
      <c r="E145" s="281">
        <f t="shared" ref="E145" si="93">E204</f>
        <v>27985.585767035554</v>
      </c>
      <c r="F145" s="227"/>
      <c r="G145" s="281">
        <f t="shared" si="79"/>
        <v>27228.477297850059</v>
      </c>
      <c r="H145" s="227"/>
      <c r="I145" s="281">
        <f t="shared" ref="I145" si="94">I204</f>
        <v>26375.050445512879</v>
      </c>
      <c r="J145" s="227"/>
      <c r="K145" s="281">
        <f t="shared" ref="K145" si="95">K204</f>
        <v>25610.050445512883</v>
      </c>
      <c r="L145" s="227"/>
    </row>
    <row r="146" spans="1:12" ht="16.5" thickBot="1" x14ac:dyDescent="0.3">
      <c r="A146" s="132"/>
      <c r="B146" s="132"/>
      <c r="C146" s="132"/>
      <c r="D146" s="282"/>
      <c r="E146" s="283"/>
      <c r="F146" s="284"/>
      <c r="G146" s="283"/>
      <c r="H146" s="284"/>
      <c r="I146" s="283"/>
      <c r="J146" s="284"/>
      <c r="K146" s="283"/>
      <c r="L146" s="284"/>
    </row>
    <row r="147" spans="1:12" ht="21" thickBot="1" x14ac:dyDescent="0.35">
      <c r="A147" s="132"/>
      <c r="B147" s="132"/>
      <c r="C147" s="132"/>
      <c r="D147" s="285" t="str">
        <f>D206</f>
        <v>Líquido</v>
      </c>
      <c r="E147" s="286">
        <f>E206</f>
        <v>520751.39005719108</v>
      </c>
      <c r="F147" s="287"/>
      <c r="G147" s="286">
        <f>G206</f>
        <v>506663.23442470015</v>
      </c>
      <c r="H147" s="287"/>
      <c r="I147" s="286">
        <f>I206</f>
        <v>490782.8014272888</v>
      </c>
      <c r="J147" s="287"/>
      <c r="K147" s="286">
        <f>K206</f>
        <v>476547.8014272888</v>
      </c>
      <c r="L147" s="287"/>
    </row>
    <row r="148" spans="1:12" ht="16.5" thickTop="1" x14ac:dyDescent="0.25">
      <c r="A148" s="132"/>
      <c r="D148" s="69"/>
      <c r="E148" s="288"/>
      <c r="G148" s="288"/>
      <c r="I148" s="288"/>
      <c r="K148" s="288"/>
    </row>
    <row r="149" spans="1:12" ht="15.75" hidden="1" x14ac:dyDescent="0.25">
      <c r="A149" s="132"/>
      <c r="B149" s="20"/>
      <c r="C149" s="20"/>
      <c r="D149" s="108"/>
      <c r="E149" s="132"/>
      <c r="F149" s="289"/>
      <c r="G149" s="132"/>
      <c r="H149" s="289"/>
      <c r="I149" s="132"/>
      <c r="J149" s="289"/>
      <c r="K149" s="132"/>
      <c r="L149" s="289"/>
    </row>
    <row r="150" spans="1:12" ht="16.5" hidden="1" thickBot="1" x14ac:dyDescent="0.3">
      <c r="A150" s="132"/>
      <c r="B150" s="20"/>
      <c r="C150" s="20"/>
      <c r="D150" s="290"/>
    </row>
    <row r="151" spans="1:12" ht="24" hidden="1" thickBot="1" x14ac:dyDescent="0.3">
      <c r="A151" s="132"/>
      <c r="B151" s="291"/>
      <c r="C151" s="291"/>
      <c r="D151" s="292" t="s">
        <v>451</v>
      </c>
      <c r="E151" s="293">
        <f>E178</f>
        <v>1043032.7801143822</v>
      </c>
      <c r="F151" s="292"/>
      <c r="G151" s="293">
        <f>G178</f>
        <v>1014856.4688494003</v>
      </c>
      <c r="H151" s="292"/>
      <c r="I151" s="293">
        <f>I178</f>
        <v>983095.60285457759</v>
      </c>
      <c r="J151" s="292"/>
      <c r="K151" s="293">
        <f>K178</f>
        <v>953095.60285457759</v>
      </c>
      <c r="L151" s="292"/>
    </row>
    <row r="152" spans="1:12" ht="24" hidden="1" thickBot="1" x14ac:dyDescent="0.3">
      <c r="A152" s="132"/>
      <c r="B152" s="291"/>
      <c r="C152" s="291"/>
      <c r="D152" s="182" t="s">
        <v>443</v>
      </c>
      <c r="E152" s="180">
        <f>E180</f>
        <v>1011008.5615649286</v>
      </c>
      <c r="F152" s="294"/>
      <c r="G152" s="180">
        <f>G180</f>
        <v>983722.96614604723</v>
      </c>
      <c r="H152" s="294"/>
      <c r="I152" s="180">
        <f>I180</f>
        <v>952966.13174220955</v>
      </c>
      <c r="J152" s="294"/>
      <c r="K152" s="180">
        <f>K180</f>
        <v>922966.13174220955</v>
      </c>
      <c r="L152" s="294"/>
    </row>
    <row r="153" spans="1:12" ht="24" hidden="1" thickBot="1" x14ac:dyDescent="0.4">
      <c r="B153" s="295"/>
      <c r="C153" s="296"/>
      <c r="D153" s="297"/>
      <c r="E153" s="21">
        <v>45992</v>
      </c>
      <c r="F153" s="22"/>
      <c r="G153" s="21">
        <v>45992</v>
      </c>
      <c r="H153" s="22"/>
      <c r="I153" s="21">
        <v>45992</v>
      </c>
      <c r="J153" s="22"/>
      <c r="K153" s="21">
        <v>45992</v>
      </c>
      <c r="L153" s="22"/>
    </row>
    <row r="154" spans="1:12" ht="16.5" hidden="1" thickBot="1" x14ac:dyDescent="0.3">
      <c r="B154" s="291">
        <v>400</v>
      </c>
      <c r="C154" s="291"/>
      <c r="D154" s="291" t="s">
        <v>452</v>
      </c>
      <c r="E154" s="298">
        <f>punbasjub*indicejul26*porjubcar*frac</f>
        <v>224109.54645407997</v>
      </c>
      <c r="F154" s="253"/>
      <c r="G154" s="298">
        <f>punbasjub*indicemay26*porjubcar*frac</f>
        <v>217582.08393599998</v>
      </c>
      <c r="H154" s="253"/>
      <c r="I154" s="298">
        <f>punbasjub*indicedic25*porjubcar*frac</f>
        <v>210224.19519761164</v>
      </c>
      <c r="J154" s="253"/>
      <c r="K154" s="298">
        <f>punbasjub*indicedic25*porjubcar*frac</f>
        <v>210224.19519761164</v>
      </c>
      <c r="L154" s="253"/>
    </row>
    <row r="155" spans="1:12" ht="16.5" hidden="1" thickBot="1" x14ac:dyDescent="0.3">
      <c r="B155" s="291">
        <v>542</v>
      </c>
      <c r="C155" s="291"/>
      <c r="D155" s="291" t="s">
        <v>453</v>
      </c>
      <c r="E155" s="298">
        <f>compbasico2016*indicejul26*porjubcar*frac</f>
        <v>95713.93297065598</v>
      </c>
      <c r="F155" s="253"/>
      <c r="G155" s="298">
        <f>compbasico2016*indicemay26*porjubcar*frac</f>
        <v>92926.148515199995</v>
      </c>
      <c r="H155" s="253"/>
      <c r="I155" s="298">
        <f>compbasico2016*indicedic25*porjubcar*frac</f>
        <v>89783.701079762657</v>
      </c>
      <c r="J155" s="253"/>
      <c r="K155" s="298">
        <f>compbasico2016*indicedic25*porjubcar*frac</f>
        <v>89783.701079762657</v>
      </c>
      <c r="L155" s="253"/>
    </row>
    <row r="156" spans="1:12" ht="16.5" hidden="1" thickBot="1" x14ac:dyDescent="0.3">
      <c r="B156" s="299" t="s">
        <v>454</v>
      </c>
      <c r="C156" s="299"/>
      <c r="D156" s="291" t="s">
        <v>455</v>
      </c>
      <c r="E156" s="298">
        <f>IF(nina=0,puntosadicdir2022*indicejul26*porjubcar*frac,puntosadicdir2016*indicejul26*porjubcar*frac)</f>
        <v>0</v>
      </c>
      <c r="F156" s="253"/>
      <c r="G156" s="298">
        <f>IF(nina=0,puntosadicdir2022*indicemay26*porjubcar*frac,puntosadicdir2016*indicemay26*porjubcar*frac)</f>
        <v>0</v>
      </c>
      <c r="H156" s="253"/>
      <c r="I156" s="298">
        <f>IF(nina=0,puntosadicdir2022*indicedic25*porjubcar*frac,puntosadicdir2016*indicedic25*porjubcar*frac)</f>
        <v>0</v>
      </c>
      <c r="J156" s="253"/>
      <c r="K156" s="298">
        <f>IF(nina=0,puntosadicdir2022*indicedic25*porjubcar*frac,puntosadicdir2016*indicedic25*porjubcar*frac)</f>
        <v>0</v>
      </c>
      <c r="L156" s="253"/>
    </row>
    <row r="157" spans="1:12" ht="16.5" hidden="1" thickBot="1" x14ac:dyDescent="0.3">
      <c r="B157" s="300">
        <v>430</v>
      </c>
      <c r="C157" s="300"/>
      <c r="D157" s="301" t="s">
        <v>456</v>
      </c>
      <c r="E157" s="302">
        <f>puntosadicnina*Indiceproljorjul26*nina*porjubcar*frac</f>
        <v>0</v>
      </c>
      <c r="F157" s="253"/>
      <c r="G157" s="302">
        <f>puntosadicnina*Indiceproljormay26*porjubcar*frac</f>
        <v>0</v>
      </c>
      <c r="H157" s="253"/>
      <c r="I157" s="302">
        <f>puntosadicnina*Indiceproljordic25*porjubcar*frac</f>
        <v>0</v>
      </c>
      <c r="J157" s="303"/>
      <c r="K157" s="302">
        <f>puntosadicnina*Indiceproljordic25*porjubcar*frac</f>
        <v>0</v>
      </c>
      <c r="L157" s="303"/>
    </row>
    <row r="158" spans="1:12" ht="16.5" hidden="1" thickBot="1" x14ac:dyDescent="0.3">
      <c r="B158" s="291">
        <v>404</v>
      </c>
      <c r="C158" s="291"/>
      <c r="D158" s="304" t="s">
        <v>457</v>
      </c>
      <c r="E158" s="298">
        <f>puntostareadifer*indicejul26*porjubcar*frac</f>
        <v>0</v>
      </c>
      <c r="F158" s="253"/>
      <c r="G158" s="298">
        <f>puntostareadifer*indicemay26*porjubcar*frac</f>
        <v>0</v>
      </c>
      <c r="H158" s="253"/>
      <c r="I158" s="298">
        <f>puntostareadifer*indicedic25*porjubcar*frac</f>
        <v>0</v>
      </c>
      <c r="J158" s="305"/>
      <c r="K158" s="298">
        <f>puntostareadifer*indicedic25*porjubcar*frac</f>
        <v>0</v>
      </c>
      <c r="L158" s="305"/>
    </row>
    <row r="159" spans="1:12" ht="16.5" hidden="1" thickBot="1" x14ac:dyDescent="0.3">
      <c r="B159" s="291">
        <v>406</v>
      </c>
      <c r="C159" s="291"/>
      <c r="D159" s="291" t="s">
        <v>458</v>
      </c>
      <c r="E159" s="298">
        <f>(E154+E155+E156+E157+E158+E161+E165+E166)*porcantigcargo</f>
        <v>408388.17530968314</v>
      </c>
      <c r="F159" s="253"/>
      <c r="G159" s="298">
        <f>(G154+G155+G156+G157+G158+G161+G165+G166)*porcantigcargo</f>
        <v>397209.87894143997</v>
      </c>
      <c r="H159" s="253"/>
      <c r="I159" s="298">
        <f>(I154+I155+I156+I157+I158+I161+I165+I166)*porcantigcargo</f>
        <v>384609.47553284914</v>
      </c>
      <c r="J159" s="253"/>
      <c r="K159" s="298">
        <f>(K154+K155+K156+K157+K158+K161+K165+K166)*porcantigcargo</f>
        <v>384609.47553284914</v>
      </c>
      <c r="L159" s="253"/>
    </row>
    <row r="160" spans="1:12" ht="16.5" hidden="1" thickBot="1" x14ac:dyDescent="0.3">
      <c r="B160" s="291">
        <v>408</v>
      </c>
      <c r="C160" s="291"/>
      <c r="D160" s="291" t="s">
        <v>459</v>
      </c>
      <c r="E160" s="298">
        <f>(E154+E155+E156+E157+E158+E161)*porczona</f>
        <v>0</v>
      </c>
      <c r="F160" s="253"/>
      <c r="G160" s="298">
        <f>(G154+G155+G156+G157+G158+G161)*porczona</f>
        <v>0</v>
      </c>
      <c r="H160" s="253"/>
      <c r="I160" s="298">
        <f>(I154+I155+I156+I157+I158+I161)*porczona</f>
        <v>0</v>
      </c>
      <c r="J160" s="253"/>
      <c r="K160" s="298">
        <f>(K154+K155+K156+K157+K158+K161)*porczona</f>
        <v>0</v>
      </c>
      <c r="L160" s="253"/>
    </row>
    <row r="161" spans="2:12" ht="16.5" hidden="1" thickBot="1" x14ac:dyDescent="0.3">
      <c r="B161" s="291">
        <v>416</v>
      </c>
      <c r="C161" s="291"/>
      <c r="D161" s="291" t="s">
        <v>460</v>
      </c>
      <c r="E161" s="298">
        <f>puntosproljor*Indiceproljorjul26*porjubcar*frac</f>
        <v>0</v>
      </c>
      <c r="F161" s="253"/>
      <c r="G161" s="298">
        <f>puntosproljor*Indiceproljormay26*porjubcar*frac</f>
        <v>0</v>
      </c>
      <c r="H161" s="253"/>
      <c r="I161" s="298">
        <f>puntosproljor*Indiceproljordic25*porjubcar*frac</f>
        <v>0</v>
      </c>
      <c r="J161" s="253"/>
      <c r="K161" s="298">
        <f>puntosproljor*Indiceproljordic25*porjubcar*frac</f>
        <v>0</v>
      </c>
      <c r="L161" s="253"/>
    </row>
    <row r="162" spans="2:12" ht="21.75" hidden="1" customHeight="1" thickBot="1" x14ac:dyDescent="0.3">
      <c r="B162" s="291">
        <v>432</v>
      </c>
      <c r="C162" s="291"/>
      <c r="D162" s="291" t="s">
        <v>461</v>
      </c>
      <c r="E162" s="566">
        <f>cod06dic25*porjubcar*frac*(1+aumentojulio26)</f>
        <v>233299.58432399997</v>
      </c>
      <c r="F162" s="253"/>
      <c r="G162" s="566">
        <f>cod06dic25*porjubcar*frac*(1+aumentomayo26)</f>
        <v>226504.45079999996</v>
      </c>
      <c r="H162" s="253"/>
      <c r="I162" s="566">
        <f>cod06dic25*porjubcar*frac</f>
        <v>218844.87999999998</v>
      </c>
      <c r="J162" s="253"/>
      <c r="K162" s="566">
        <f>cod06dic25*porjubcar*frac</f>
        <v>218844.87999999998</v>
      </c>
      <c r="L162" s="253"/>
    </row>
    <row r="163" spans="2:12" ht="16.5" hidden="1" thickBot="1" x14ac:dyDescent="0.3">
      <c r="B163" s="291">
        <v>434</v>
      </c>
      <c r="C163" s="291"/>
      <c r="D163" s="291" t="s">
        <v>462</v>
      </c>
      <c r="E163" s="298">
        <f>(E154+E155+E156+E157+E158+E159+E160+E161+E162+E164+E165+E166)*0.07*0.95</f>
        <v>66560.729287034366</v>
      </c>
      <c r="F163" s="253"/>
      <c r="G163" s="298">
        <f>(G154+G155+G156+G157+G158+G159+G160+G161+G162+G164+G165+G166)*0.07*0.95</f>
        <v>64709.421152460556</v>
      </c>
      <c r="H163" s="253"/>
      <c r="I163" s="298">
        <f>(I154+I155+I156+I157+I158+I159+I160+I161+I162+I164+I165+I166)*0.07*0.95</f>
        <v>62622.59193537986</v>
      </c>
      <c r="J163" s="253"/>
      <c r="K163" s="298">
        <f>(K154+K155+K156+K157+K158+K159+K160+K161+K162+K164+K165+K166)*0.07*0.95</f>
        <v>62622.59193537986</v>
      </c>
      <c r="L163" s="253"/>
    </row>
    <row r="164" spans="2:12" ht="16.5" hidden="1" thickBot="1" x14ac:dyDescent="0.3">
      <c r="B164" s="291">
        <v>437</v>
      </c>
      <c r="C164" s="291"/>
      <c r="D164" s="306" t="s">
        <v>463</v>
      </c>
      <c r="E164" s="307">
        <f>IF(AND(puntosproljor&lt;620,PUNTOSbasicos&lt;2200),21623,43246)*porjubcar*frac*(1+aumentojulio26)</f>
        <v>18901.983303000001</v>
      </c>
      <c r="F164" s="253"/>
      <c r="G164" s="307">
        <f>IF(AND(puntosproljor&lt;620,PUNTOSbasicos&lt;2200),21623,43246)*porjubcar*frac*(1+aumentomayo26)</f>
        <v>18351.4401</v>
      </c>
      <c r="H164" s="253"/>
      <c r="I164" s="307">
        <f>IF(AND(puntosproljor&lt;620,PUNTOSbasicos&lt;2200),21623,43246)*porjubcar*frac</f>
        <v>17730.86</v>
      </c>
      <c r="J164" s="209"/>
      <c r="K164" s="307">
        <f>IF(AND(puntosproljor&lt;620,PUNTOSbasicos&lt;2200),21623,43246)*porjubcar*frac</f>
        <v>17730.86</v>
      </c>
      <c r="L164" s="209"/>
    </row>
    <row r="165" spans="2:12" ht="18.75" hidden="1" thickBot="1" x14ac:dyDescent="0.3">
      <c r="B165" s="205">
        <v>1622</v>
      </c>
      <c r="C165" s="308">
        <f>C106</f>
        <v>1</v>
      </c>
      <c r="D165" s="309" t="s">
        <v>444</v>
      </c>
      <c r="E165" s="310">
        <f>IF(AND(porcantigcargo&gt;=50%,$C165=1),25000,0)*porjubcar*frac</f>
        <v>20500</v>
      </c>
      <c r="F165" s="253"/>
      <c r="G165" s="310">
        <f>IF(AND(porcantigcargo&gt;=50%,$C165=1),25000,0)*porjubcar*frac</f>
        <v>20500</v>
      </c>
      <c r="H165" s="253"/>
      <c r="I165" s="310">
        <f>IF(AND(porcantigcargo&gt;=50%,$C165=1),25000,0)*porjubcar*frac</f>
        <v>20500</v>
      </c>
      <c r="J165" s="311"/>
      <c r="K165" s="310">
        <f>IF(AND(porcantigcargo&gt;=50%,$C165=1),25000,0)*porjubcar*frac</f>
        <v>20500</v>
      </c>
      <c r="L165" s="311"/>
    </row>
    <row r="166" spans="2:12" ht="18.75" hidden="1" thickBot="1" x14ac:dyDescent="0.3">
      <c r="B166" s="618"/>
      <c r="C166" s="622"/>
      <c r="D166" s="624" t="s">
        <v>518</v>
      </c>
      <c r="E166" s="623">
        <f>puntosnep*indicejul26*NEP*porjubcar*frac</f>
        <v>0</v>
      </c>
      <c r="F166" s="253"/>
      <c r="G166" s="623">
        <f>puntosnep*indicemay26*NEP*porjubcar*frac</f>
        <v>0</v>
      </c>
      <c r="H166" s="253"/>
      <c r="I166" s="623">
        <f>puntosnep*indicedic25*NEP*porjubcar*frac</f>
        <v>0</v>
      </c>
      <c r="J166" s="311"/>
      <c r="K166" s="623">
        <f>puntosnep*indicedic25*NEP*porjubcar*frac</f>
        <v>0</v>
      </c>
      <c r="L166" s="311"/>
    </row>
    <row r="167" spans="2:12" ht="21" hidden="1" thickBot="1" x14ac:dyDescent="0.35">
      <c r="B167" s="569">
        <v>1650</v>
      </c>
      <c r="C167" s="568">
        <f>C108</f>
        <v>1</v>
      </c>
      <c r="D167" s="570" t="s">
        <v>501</v>
      </c>
      <c r="E167" s="571">
        <v>30000</v>
      </c>
      <c r="F167" s="253"/>
      <c r="G167" s="571">
        <v>30000</v>
      </c>
      <c r="H167" s="253"/>
      <c r="I167" s="571">
        <v>30000</v>
      </c>
      <c r="J167" s="311"/>
      <c r="K167" s="571">
        <v>0</v>
      </c>
      <c r="L167" s="311"/>
    </row>
    <row r="168" spans="2:12" ht="16.5" hidden="1" thickBot="1" x14ac:dyDescent="0.3">
      <c r="B168" s="291"/>
      <c r="C168" s="291"/>
      <c r="D168" s="291" t="s">
        <v>464</v>
      </c>
      <c r="E168" s="312">
        <f>E109</f>
        <v>0</v>
      </c>
      <c r="F168" s="253"/>
      <c r="G168" s="312">
        <f>G109</f>
        <v>0</v>
      </c>
      <c r="H168" s="253"/>
      <c r="I168" s="312">
        <f>I109</f>
        <v>0</v>
      </c>
      <c r="J168" s="253"/>
      <c r="K168" s="312">
        <f>K109</f>
        <v>0</v>
      </c>
      <c r="L168" s="253"/>
    </row>
    <row r="169" spans="2:12" ht="18.75" hidden="1" thickBot="1" x14ac:dyDescent="0.3">
      <c r="B169" s="291"/>
      <c r="C169" s="291"/>
      <c r="D169" s="313" t="s">
        <v>465</v>
      </c>
      <c r="E169" s="314">
        <f>SUM(E154:E168)</f>
        <v>1097473.9516484533</v>
      </c>
      <c r="F169" s="315"/>
      <c r="G169" s="314">
        <f>SUM(G154:G168)</f>
        <v>1067783.4234451004</v>
      </c>
      <c r="H169" s="315"/>
      <c r="I169" s="314">
        <f>SUM(I154:I168)</f>
        <v>1034315.7037456033</v>
      </c>
      <c r="J169" s="315"/>
      <c r="K169" s="314">
        <f>SUM(K154:K168)</f>
        <v>1004315.7037456033</v>
      </c>
      <c r="L169" s="315"/>
    </row>
    <row r="170" spans="2:12" ht="16.5" hidden="1" thickBot="1" x14ac:dyDescent="0.3">
      <c r="B170" s="291">
        <v>703</v>
      </c>
      <c r="C170" s="316">
        <v>2.5000000000000001E-3</v>
      </c>
      <c r="D170" s="317" t="s">
        <v>466</v>
      </c>
      <c r="E170" s="318">
        <f>(E169-E168-E167)*$C170</f>
        <v>2668.6848791211332</v>
      </c>
      <c r="F170" s="319"/>
      <c r="G170" s="318">
        <f>(G169-G168-G167)*$C170</f>
        <v>2594.4585586127509</v>
      </c>
      <c r="H170" s="319"/>
      <c r="I170" s="318">
        <f>(I169-I168-I167)*$C170</f>
        <v>2510.7892593640086</v>
      </c>
      <c r="J170" s="319"/>
      <c r="K170" s="318">
        <f>(K169-K168-K167)*$C170</f>
        <v>2510.7892593640086</v>
      </c>
      <c r="L170" s="319"/>
    </row>
    <row r="171" spans="2:12" ht="16.5" hidden="1" thickBot="1" x14ac:dyDescent="0.3">
      <c r="B171" s="291">
        <v>707</v>
      </c>
      <c r="C171" s="320">
        <v>0.03</v>
      </c>
      <c r="D171" s="291" t="s">
        <v>467</v>
      </c>
      <c r="E171" s="318">
        <f>(E169-E168-E167)*$C171</f>
        <v>32024.218549453595</v>
      </c>
      <c r="F171" s="253"/>
      <c r="G171" s="318">
        <f>(G169-G168-G167)*$C171</f>
        <v>31133.502703353013</v>
      </c>
      <c r="H171" s="253"/>
      <c r="I171" s="318">
        <f>(I169-I168-I167)*$C171</f>
        <v>30129.471112368097</v>
      </c>
      <c r="J171" s="253"/>
      <c r="K171" s="318">
        <f>(K169-K168-K167)*$C171</f>
        <v>30129.471112368097</v>
      </c>
      <c r="L171" s="253"/>
    </row>
    <row r="172" spans="2:12" ht="16.5" hidden="1" thickBot="1" x14ac:dyDescent="0.3">
      <c r="B172" s="291">
        <v>709</v>
      </c>
      <c r="C172" s="321">
        <f>C113</f>
        <v>1.5E-3</v>
      </c>
      <c r="D172" s="291" t="s">
        <v>468</v>
      </c>
      <c r="E172" s="318">
        <f>(E169-E168-E167)*$C172</f>
        <v>1601.2109274726799</v>
      </c>
      <c r="F172" s="253"/>
      <c r="G172" s="318">
        <f>(G169-G168-G167)*$C172</f>
        <v>1556.6751351676508</v>
      </c>
      <c r="H172" s="253"/>
      <c r="I172" s="318">
        <f>(I169-I168-I167)*$C172</f>
        <v>1506.473555618405</v>
      </c>
      <c r="J172" s="253"/>
      <c r="K172" s="318">
        <f>(K169-K168-K167)*$C172</f>
        <v>1506.473555618405</v>
      </c>
      <c r="L172" s="253"/>
    </row>
    <row r="173" spans="2:12" ht="16.5" hidden="1" thickBot="1" x14ac:dyDescent="0.3">
      <c r="B173" s="291">
        <v>713</v>
      </c>
      <c r="C173" s="322">
        <v>7.0000000000000001E-3</v>
      </c>
      <c r="D173" s="291" t="s">
        <v>469</v>
      </c>
      <c r="E173" s="318">
        <f>(E169-E168-E167)*$C173</f>
        <v>7472.3176615391731</v>
      </c>
      <c r="F173" s="253"/>
      <c r="G173" s="318">
        <f>(G169-G168-G167)*$C173</f>
        <v>7264.4839641157032</v>
      </c>
      <c r="H173" s="253"/>
      <c r="I173" s="318">
        <f>(I169-I168-I167)*$C173</f>
        <v>7030.2099262192232</v>
      </c>
      <c r="J173" s="253"/>
      <c r="K173" s="318">
        <f>(K169-K168-K167)*$C173</f>
        <v>7030.2099262192232</v>
      </c>
      <c r="L173" s="253"/>
    </row>
    <row r="174" spans="2:12" ht="16.5" hidden="1" thickBot="1" x14ac:dyDescent="0.3">
      <c r="B174" s="291">
        <v>787</v>
      </c>
      <c r="C174" s="320">
        <f>C115</f>
        <v>0.01</v>
      </c>
      <c r="D174" s="291" t="s">
        <v>470</v>
      </c>
      <c r="E174" s="318">
        <f>(E169-E168-E167)*$C174</f>
        <v>10674.739516484533</v>
      </c>
      <c r="F174" s="253"/>
      <c r="G174" s="318">
        <f>(G169-G168-G167)*$C174</f>
        <v>10377.834234451004</v>
      </c>
      <c r="H174" s="253"/>
      <c r="I174" s="318">
        <f>(I169-I168-I167)*$C174</f>
        <v>10043.157037456034</v>
      </c>
      <c r="J174" s="253"/>
      <c r="K174" s="318">
        <f>(K169-K168-K167)*$C174</f>
        <v>10043.157037456034</v>
      </c>
      <c r="L174" s="253"/>
    </row>
    <row r="175" spans="2:12" ht="16.5" hidden="1" thickBot="1" x14ac:dyDescent="0.3">
      <c r="B175" s="291"/>
      <c r="C175" s="291"/>
      <c r="D175" s="291" t="s">
        <v>471</v>
      </c>
      <c r="E175" s="323"/>
      <c r="F175" s="253"/>
      <c r="G175" s="323"/>
      <c r="H175" s="253"/>
      <c r="I175" s="323"/>
      <c r="J175" s="253"/>
      <c r="K175" s="323"/>
      <c r="L175" s="253"/>
    </row>
    <row r="176" spans="2:12" ht="16.5" hidden="1" thickBot="1" x14ac:dyDescent="0.3">
      <c r="B176" s="291"/>
      <c r="C176" s="291"/>
      <c r="D176" s="324" t="s">
        <v>472</v>
      </c>
      <c r="E176" s="325">
        <f>SUM(E170:E175)</f>
        <v>54441.171534071109</v>
      </c>
      <c r="F176" s="326"/>
      <c r="G176" s="325">
        <f>SUM(G170:G175)</f>
        <v>52926.954595700117</v>
      </c>
      <c r="H176" s="326"/>
      <c r="I176" s="325">
        <f>SUM(I170:I175)</f>
        <v>51220.100891025766</v>
      </c>
      <c r="J176" s="326"/>
      <c r="K176" s="325">
        <f>SUM(K170:K175)</f>
        <v>51220.100891025766</v>
      </c>
      <c r="L176" s="326"/>
    </row>
    <row r="177" spans="2:12" ht="16.5" hidden="1" thickBot="1" x14ac:dyDescent="0.3">
      <c r="B177" s="324"/>
      <c r="C177" s="324"/>
      <c r="D177" s="291"/>
      <c r="E177" s="327"/>
      <c r="F177" s="253"/>
      <c r="G177" s="327"/>
      <c r="H177" s="253"/>
      <c r="I177" s="327"/>
      <c r="J177" s="253"/>
      <c r="K177" s="327"/>
      <c r="L177" s="253"/>
    </row>
    <row r="178" spans="2:12" ht="21" hidden="1" thickBot="1" x14ac:dyDescent="0.35">
      <c r="B178" s="299"/>
      <c r="C178" s="299"/>
      <c r="D178" s="328" t="s">
        <v>473</v>
      </c>
      <c r="E178" s="329">
        <f>E169-E176</f>
        <v>1043032.7801143822</v>
      </c>
      <c r="F178" s="330"/>
      <c r="G178" s="329">
        <f>G169-G176</f>
        <v>1014856.4688494003</v>
      </c>
      <c r="H178" s="330"/>
      <c r="I178" s="329">
        <f>I169-I176</f>
        <v>983095.60285457759</v>
      </c>
      <c r="J178" s="330"/>
      <c r="K178" s="329">
        <f>K169-K176</f>
        <v>953095.60285457759</v>
      </c>
      <c r="L178" s="330"/>
    </row>
    <row r="179" spans="2:12" ht="16.5" hidden="1" thickBot="1" x14ac:dyDescent="0.3">
      <c r="B179" s="299"/>
      <c r="C179" s="299"/>
      <c r="D179" s="237" t="s">
        <v>445</v>
      </c>
      <c r="E179" s="331">
        <f>(E169-E168-E167)*0.03</f>
        <v>32024.218549453595</v>
      </c>
      <c r="F179" s="332"/>
      <c r="G179" s="331">
        <f>(G169-G168-G167)*0.03</f>
        <v>31133.502703353013</v>
      </c>
      <c r="H179" s="332"/>
      <c r="I179" s="331">
        <f>(I169-I168-I167)*0.03</f>
        <v>30129.471112368097</v>
      </c>
      <c r="J179" s="332"/>
      <c r="K179" s="331">
        <f>(K169-K168-K167)*0.03</f>
        <v>30129.471112368097</v>
      </c>
      <c r="L179" s="332"/>
    </row>
    <row r="180" spans="2:12" ht="21" hidden="1" thickBot="1" x14ac:dyDescent="0.35">
      <c r="B180" s="299"/>
      <c r="C180" s="299"/>
      <c r="D180" s="238" t="s">
        <v>446</v>
      </c>
      <c r="E180" s="333">
        <f>E178-E179</f>
        <v>1011008.5615649286</v>
      </c>
      <c r="F180" s="332"/>
      <c r="G180" s="333">
        <f>G178-G179</f>
        <v>983722.96614604723</v>
      </c>
      <c r="H180" s="332"/>
      <c r="I180" s="333">
        <f>I178-I179</f>
        <v>952966.13174220955</v>
      </c>
      <c r="J180" s="332"/>
      <c r="K180" s="333">
        <f>K178-K179</f>
        <v>922966.13174220955</v>
      </c>
      <c r="L180" s="332"/>
    </row>
    <row r="181" spans="2:12" ht="16.5" hidden="1" thickBot="1" x14ac:dyDescent="0.3">
      <c r="B181" s="299"/>
      <c r="C181" s="299"/>
      <c r="D181" s="332"/>
      <c r="E181" s="334"/>
      <c r="F181" s="335"/>
      <c r="G181" s="334"/>
      <c r="H181" s="335"/>
      <c r="I181" s="334"/>
      <c r="J181" s="335"/>
      <c r="K181" s="334"/>
      <c r="L181" s="335"/>
    </row>
    <row r="182" spans="2:12" ht="18.75" hidden="1" thickBot="1" x14ac:dyDescent="0.3">
      <c r="B182" s="291"/>
      <c r="C182" s="336"/>
      <c r="D182" s="337" t="s">
        <v>474</v>
      </c>
      <c r="E182" s="338">
        <f>E178-G178</f>
        <v>28176.311264981865</v>
      </c>
      <c r="F182" s="339"/>
      <c r="G182" s="338">
        <f>G178-I178</f>
        <v>31760.8659948227</v>
      </c>
      <c r="H182" s="339"/>
      <c r="I182" s="338">
        <f>I178-K178</f>
        <v>30000</v>
      </c>
      <c r="J182" s="339"/>
      <c r="K182" s="338"/>
      <c r="L182" s="339"/>
    </row>
    <row r="183" spans="2:12" ht="18.75" hidden="1" thickBot="1" x14ac:dyDescent="0.3">
      <c r="B183" s="340"/>
      <c r="C183" s="336"/>
      <c r="D183" s="337" t="s">
        <v>475</v>
      </c>
      <c r="E183" s="341">
        <f>E182/G178</f>
        <v>2.7763838660778237E-2</v>
      </c>
      <c r="F183" s="339"/>
      <c r="G183" s="341">
        <f>G182/I178</f>
        <v>3.2306996290696319E-2</v>
      </c>
      <c r="H183" s="339"/>
      <c r="I183" s="341">
        <f>I182/K178</f>
        <v>3.1476380659136639E-2</v>
      </c>
      <c r="J183" s="339"/>
      <c r="K183" s="341"/>
      <c r="L183" s="339"/>
    </row>
    <row r="184" spans="2:12" ht="16.5" hidden="1" thickBot="1" x14ac:dyDescent="0.3">
      <c r="B184" s="291"/>
      <c r="C184" s="336"/>
      <c r="D184" s="291"/>
      <c r="E184" s="291"/>
      <c r="F184" s="253"/>
      <c r="G184" s="291"/>
      <c r="H184" s="253"/>
      <c r="I184" s="291"/>
      <c r="J184" s="253"/>
      <c r="K184" s="291"/>
      <c r="L184" s="253"/>
    </row>
    <row r="185" spans="2:12" ht="18.75" hidden="1" thickBot="1" x14ac:dyDescent="0.3">
      <c r="B185" s="291"/>
      <c r="C185" s="336"/>
      <c r="D185" s="251" t="s">
        <v>447</v>
      </c>
      <c r="E185" s="342">
        <f>E180-G180</f>
        <v>27285.595418881392</v>
      </c>
      <c r="F185" s="253"/>
      <c r="G185" s="342">
        <f>G180-I180</f>
        <v>30756.834403837682</v>
      </c>
      <c r="H185" s="253"/>
      <c r="I185" s="342">
        <f>I180-K180</f>
        <v>30000</v>
      </c>
      <c r="J185" s="253"/>
      <c r="K185" s="342"/>
      <c r="L185" s="253"/>
    </row>
    <row r="186" spans="2:12" ht="18.75" hidden="1" thickBot="1" x14ac:dyDescent="0.3">
      <c r="B186" s="291"/>
      <c r="C186" s="336"/>
      <c r="D186" s="251" t="s">
        <v>448</v>
      </c>
      <c r="E186" s="343">
        <f>E185/G180</f>
        <v>2.7737072690067165E-2</v>
      </c>
      <c r="F186" s="253"/>
      <c r="G186" s="343">
        <f>G185/I180</f>
        <v>3.2274845222052269E-2</v>
      </c>
      <c r="H186" s="253"/>
      <c r="I186" s="343">
        <f>I185/K180</f>
        <v>3.2503901246486035E-2</v>
      </c>
      <c r="J186" s="253"/>
      <c r="K186" s="343"/>
      <c r="L186" s="253"/>
    </row>
    <row r="187" spans="2:12" ht="16.5" hidden="1" thickBot="1" x14ac:dyDescent="0.3">
      <c r="B187" s="291"/>
      <c r="C187" s="336"/>
      <c r="D187" s="291"/>
      <c r="E187" s="291"/>
      <c r="F187" s="253"/>
      <c r="G187" s="291"/>
      <c r="H187" s="253"/>
      <c r="I187" s="291"/>
      <c r="J187" s="253"/>
      <c r="K187" s="291"/>
      <c r="L187" s="253"/>
    </row>
    <row r="188" spans="2:12" ht="18.75" hidden="1" thickBot="1" x14ac:dyDescent="0.3">
      <c r="B188" s="291"/>
      <c r="C188" s="336"/>
      <c r="D188" s="337" t="s">
        <v>476</v>
      </c>
      <c r="E188" s="344">
        <f>E178-$K178</f>
        <v>89937.177259804565</v>
      </c>
      <c r="F188" s="345"/>
      <c r="G188" s="344">
        <f>G178-$K178</f>
        <v>61760.8659948227</v>
      </c>
      <c r="H188" s="345"/>
      <c r="I188" s="344">
        <f>I178-$K178</f>
        <v>30000</v>
      </c>
      <c r="J188" s="345"/>
      <c r="K188" s="344"/>
      <c r="L188" s="345"/>
    </row>
    <row r="189" spans="2:12" ht="18.75" hidden="1" thickBot="1" x14ac:dyDescent="0.3">
      <c r="B189" s="291"/>
      <c r="C189" s="336"/>
      <c r="D189" s="337" t="s">
        <v>477</v>
      </c>
      <c r="E189" s="346">
        <f>E188/$K178</f>
        <v>9.4363227561261864E-2</v>
      </c>
      <c r="F189" s="339"/>
      <c r="G189" s="346">
        <f>G188/$K178</f>
        <v>6.4800284263032235E-2</v>
      </c>
      <c r="H189" s="339"/>
      <c r="I189" s="346">
        <f>I188/$K178</f>
        <v>3.1476380659136639E-2</v>
      </c>
      <c r="J189" s="339"/>
      <c r="K189" s="346"/>
      <c r="L189" s="339"/>
    </row>
    <row r="190" spans="2:12" ht="16.5" hidden="1" thickBot="1" x14ac:dyDescent="0.3">
      <c r="B190" s="291"/>
      <c r="C190" s="336"/>
      <c r="D190" s="347"/>
      <c r="E190" s="348"/>
      <c r="F190" s="263"/>
      <c r="G190" s="348"/>
      <c r="H190" s="263"/>
      <c r="I190" s="348"/>
      <c r="J190" s="263"/>
      <c r="K190" s="348"/>
      <c r="L190" s="263"/>
    </row>
    <row r="191" spans="2:12" ht="18.75" hidden="1" thickBot="1" x14ac:dyDescent="0.3">
      <c r="B191" s="291"/>
      <c r="C191" s="336"/>
      <c r="D191" s="262" t="s">
        <v>449</v>
      </c>
      <c r="E191" s="344">
        <f>E180-$K180</f>
        <v>88042.429822719074</v>
      </c>
      <c r="F191" s="349"/>
      <c r="G191" s="344">
        <f>G180-$K180</f>
        <v>60756.834403837682</v>
      </c>
      <c r="H191" s="349"/>
      <c r="I191" s="344">
        <f>I180-$K180</f>
        <v>30000</v>
      </c>
      <c r="J191" s="349"/>
      <c r="K191" s="344"/>
      <c r="L191" s="349"/>
    </row>
    <row r="192" spans="2:12" ht="18.75" hidden="1" thickBot="1" x14ac:dyDescent="0.3">
      <c r="B192" s="291"/>
      <c r="C192" s="336"/>
      <c r="D192" s="262" t="s">
        <v>450</v>
      </c>
      <c r="E192" s="346">
        <f>E191/$K180</f>
        <v>9.539074814861126E-2</v>
      </c>
      <c r="F192" s="263"/>
      <c r="G192" s="346">
        <f>G191/$K180</f>
        <v>6.5827804850381505E-2</v>
      </c>
      <c r="H192" s="263"/>
      <c r="I192" s="346">
        <f>I191/$K180</f>
        <v>3.2503901246486035E-2</v>
      </c>
      <c r="J192" s="263"/>
      <c r="K192" s="346"/>
      <c r="L192" s="263"/>
    </row>
    <row r="193" spans="1:19" ht="16.5" hidden="1" thickBot="1" x14ac:dyDescent="0.3">
      <c r="B193" s="291"/>
      <c r="C193" s="336"/>
      <c r="D193" s="350"/>
      <c r="E193" s="350"/>
      <c r="F193" s="351"/>
      <c r="G193" s="350"/>
      <c r="H193" s="351"/>
      <c r="I193" s="350"/>
      <c r="J193" s="351"/>
      <c r="K193" s="350"/>
      <c r="L193" s="351"/>
    </row>
    <row r="194" spans="1:19" ht="21" hidden="1" thickBot="1" x14ac:dyDescent="0.35">
      <c r="B194" s="291"/>
      <c r="C194" s="336"/>
      <c r="D194" s="352" t="s">
        <v>478</v>
      </c>
      <c r="E194" s="353"/>
      <c r="F194" s="354"/>
      <c r="G194" s="353"/>
      <c r="H194" s="354"/>
      <c r="I194" s="353"/>
      <c r="J194" s="354"/>
      <c r="K194" s="353"/>
      <c r="L194" s="354"/>
    </row>
    <row r="195" spans="1:19" ht="16.5" hidden="1" thickBot="1" x14ac:dyDescent="0.3">
      <c r="B195" s="291"/>
      <c r="C195" s="336"/>
      <c r="D195" s="355"/>
      <c r="E195" s="291"/>
      <c r="F195" s="356"/>
      <c r="G195" s="291"/>
      <c r="H195" s="356"/>
      <c r="I195" s="291"/>
      <c r="J195" s="356"/>
      <c r="K195" s="291"/>
      <c r="L195" s="356"/>
    </row>
    <row r="196" spans="1:19" ht="16.5" hidden="1" thickBot="1" x14ac:dyDescent="0.3">
      <c r="B196" s="291"/>
      <c r="C196" s="336"/>
      <c r="D196" s="357" t="s">
        <v>479</v>
      </c>
      <c r="E196" s="357">
        <f>E169*0.5</f>
        <v>548736.97582422663</v>
      </c>
      <c r="F196" s="358"/>
      <c r="G196" s="357">
        <f>G169*0.5</f>
        <v>533891.71172255022</v>
      </c>
      <c r="H196" s="358"/>
      <c r="I196" s="357">
        <f>I169*0.5</f>
        <v>517157.85187280166</v>
      </c>
      <c r="J196" s="358"/>
      <c r="K196" s="357">
        <f>K169*0.5</f>
        <v>502157.85187280166</v>
      </c>
      <c r="L196" s="358"/>
    </row>
    <row r="197" spans="1:19" ht="16.5" hidden="1" thickBot="1" x14ac:dyDescent="0.3">
      <c r="B197" s="291"/>
      <c r="C197" s="291"/>
      <c r="D197" s="355"/>
      <c r="E197" s="291"/>
      <c r="F197" s="356"/>
      <c r="G197" s="291"/>
      <c r="H197" s="356"/>
      <c r="I197" s="291"/>
      <c r="J197" s="356"/>
      <c r="K197" s="291"/>
      <c r="L197" s="356"/>
    </row>
    <row r="198" spans="1:19" ht="16.5" hidden="1" thickBot="1" x14ac:dyDescent="0.3">
      <c r="B198" s="291"/>
      <c r="C198" s="291"/>
      <c r="D198" s="357" t="s">
        <v>472</v>
      </c>
      <c r="E198" s="291"/>
      <c r="F198" s="358"/>
      <c r="G198" s="291"/>
      <c r="H198" s="358"/>
      <c r="I198" s="291"/>
      <c r="J198" s="358"/>
      <c r="K198" s="291"/>
      <c r="L198" s="358"/>
    </row>
    <row r="199" spans="1:19" ht="16.5" hidden="1" thickBot="1" x14ac:dyDescent="0.3">
      <c r="B199" s="291">
        <v>703</v>
      </c>
      <c r="C199" s="316">
        <v>2.5000000000000001E-3</v>
      </c>
      <c r="D199" s="317" t="s">
        <v>466</v>
      </c>
      <c r="E199" s="318">
        <f>E196*0.0025</f>
        <v>1371.8424395605666</v>
      </c>
      <c r="F199" s="319"/>
      <c r="G199" s="318">
        <f>G196*0.0025</f>
        <v>1334.7292793063755</v>
      </c>
      <c r="H199" s="319"/>
      <c r="I199" s="318">
        <f>I196*0.0025</f>
        <v>1292.8946296820043</v>
      </c>
      <c r="J199" s="319"/>
      <c r="K199" s="318">
        <f>K196*0.0025</f>
        <v>1255.3946296820043</v>
      </c>
      <c r="L199" s="319"/>
    </row>
    <row r="200" spans="1:19" ht="16.5" hidden="1" thickBot="1" x14ac:dyDescent="0.3">
      <c r="B200" s="291">
        <v>707</v>
      </c>
      <c r="C200" s="320">
        <v>0.03</v>
      </c>
      <c r="D200" s="291" t="s">
        <v>467</v>
      </c>
      <c r="E200" s="318">
        <f>E196*0.03</f>
        <v>16462.109274726798</v>
      </c>
      <c r="F200" s="253"/>
      <c r="G200" s="318">
        <f>G196*0.03</f>
        <v>16016.751351676507</v>
      </c>
      <c r="H200" s="253"/>
      <c r="I200" s="318">
        <f>I196*0.03</f>
        <v>15514.735556184049</v>
      </c>
      <c r="J200" s="253"/>
      <c r="K200" s="318">
        <f>K196*0.03</f>
        <v>15064.735556184049</v>
      </c>
      <c r="L200" s="253"/>
    </row>
    <row r="201" spans="1:19" ht="16.5" hidden="1" thickBot="1" x14ac:dyDescent="0.3">
      <c r="B201" s="291">
        <v>709</v>
      </c>
      <c r="C201" s="321">
        <f>C142</f>
        <v>1.5E-3</v>
      </c>
      <c r="D201" s="291" t="s">
        <v>468</v>
      </c>
      <c r="E201" s="318">
        <f>E196*0.0015</f>
        <v>823.10546373633997</v>
      </c>
      <c r="F201" s="253"/>
      <c r="G201" s="318">
        <f>G196*0.0015</f>
        <v>800.83756758382538</v>
      </c>
      <c r="H201" s="253"/>
      <c r="I201" s="318">
        <f>I196*0.0015</f>
        <v>775.73677780920252</v>
      </c>
      <c r="J201" s="253"/>
      <c r="K201" s="318">
        <f>K196*0.0015</f>
        <v>753.23677780920252</v>
      </c>
      <c r="L201" s="253"/>
    </row>
    <row r="202" spans="1:19" ht="16.5" hidden="1" thickBot="1" x14ac:dyDescent="0.3">
      <c r="B202" s="291">
        <v>713</v>
      </c>
      <c r="C202" s="322">
        <v>7.0000000000000001E-3</v>
      </c>
      <c r="D202" s="291" t="s">
        <v>469</v>
      </c>
      <c r="E202" s="318">
        <f>E196*0.007</f>
        <v>3841.1588307695865</v>
      </c>
      <c r="F202" s="253"/>
      <c r="G202" s="318">
        <f>G196*0.007</f>
        <v>3737.2419820578516</v>
      </c>
      <c r="H202" s="253"/>
      <c r="I202" s="318">
        <f>I196*0.007</f>
        <v>3620.1049631096116</v>
      </c>
      <c r="J202" s="253"/>
      <c r="K202" s="318">
        <f>K196*0.007</f>
        <v>3515.1049631096116</v>
      </c>
      <c r="L202" s="253"/>
    </row>
    <row r="203" spans="1:19" ht="16.5" hidden="1" thickBot="1" x14ac:dyDescent="0.3">
      <c r="B203" s="291">
        <v>787</v>
      </c>
      <c r="C203" s="320">
        <f>C115</f>
        <v>0.01</v>
      </c>
      <c r="D203" s="291" t="s">
        <v>470</v>
      </c>
      <c r="E203" s="318">
        <f>E196*$C203</f>
        <v>5487.3697582422665</v>
      </c>
      <c r="F203" s="253"/>
      <c r="G203" s="318">
        <f>G196*$C203</f>
        <v>5338.9171172255019</v>
      </c>
      <c r="H203" s="253"/>
      <c r="I203" s="318">
        <f>I196*$C203</f>
        <v>5171.5785187280171</v>
      </c>
      <c r="J203" s="253"/>
      <c r="K203" s="318">
        <f>K196*$C203</f>
        <v>5021.5785187280171</v>
      </c>
      <c r="L203" s="253"/>
    </row>
    <row r="204" spans="1:19" ht="16.5" hidden="1" thickBot="1" x14ac:dyDescent="0.3">
      <c r="B204" s="291"/>
      <c r="C204" s="291"/>
      <c r="D204" s="324" t="s">
        <v>480</v>
      </c>
      <c r="E204" s="325">
        <f>SUM(E199:E203)</f>
        <v>27985.585767035554</v>
      </c>
      <c r="F204" s="326"/>
      <c r="G204" s="325">
        <f>SUM(G199:G203)</f>
        <v>27228.477297850059</v>
      </c>
      <c r="H204" s="326"/>
      <c r="I204" s="325">
        <f>SUM(I199:I203)</f>
        <v>26375.050445512879</v>
      </c>
      <c r="J204" s="326"/>
      <c r="K204" s="325">
        <f>SUM(K199:K203)</f>
        <v>25610.050445512883</v>
      </c>
      <c r="L204" s="326"/>
    </row>
    <row r="205" spans="1:19" ht="16.5" hidden="1" thickBot="1" x14ac:dyDescent="0.3">
      <c r="B205" s="291"/>
      <c r="C205" s="291"/>
      <c r="D205" s="291"/>
      <c r="E205" s="327"/>
      <c r="F205" s="253"/>
      <c r="G205" s="327"/>
      <c r="H205" s="253"/>
      <c r="I205" s="327"/>
      <c r="J205" s="253"/>
      <c r="K205" s="327"/>
      <c r="L205" s="253"/>
    </row>
    <row r="206" spans="1:19" ht="21" hidden="1" thickBot="1" x14ac:dyDescent="0.35">
      <c r="B206" s="291"/>
      <c r="C206" s="291"/>
      <c r="D206" s="328" t="s">
        <v>473</v>
      </c>
      <c r="E206" s="576">
        <f>E196-E204</f>
        <v>520751.39005719108</v>
      </c>
      <c r="F206" s="577"/>
      <c r="G206" s="576">
        <f>G196-G204</f>
        <v>506663.23442470015</v>
      </c>
      <c r="H206" s="577"/>
      <c r="I206" s="576">
        <f>I196-I204</f>
        <v>490782.8014272888</v>
      </c>
      <c r="J206" s="577"/>
      <c r="K206" s="576">
        <f>K196-K204</f>
        <v>476547.8014272888</v>
      </c>
      <c r="L206" s="360"/>
    </row>
    <row r="207" spans="1:19" hidden="1" x14ac:dyDescent="0.25">
      <c r="D207" s="361"/>
      <c r="E207" s="288"/>
      <c r="F207" s="121"/>
      <c r="G207" s="288"/>
      <c r="H207" s="121"/>
      <c r="I207" s="288"/>
      <c r="J207" s="121"/>
      <c r="K207" s="288"/>
      <c r="L207" s="121"/>
    </row>
    <row r="208" spans="1:19" ht="23.25" hidden="1" x14ac:dyDescent="0.35">
      <c r="A208" s="132"/>
      <c r="B208" s="132"/>
      <c r="C208" s="132"/>
      <c r="D208" s="362"/>
      <c r="E208" s="21">
        <v>46204</v>
      </c>
      <c r="F208" s="22">
        <f>aumentojulio26</f>
        <v>6.6049999999999942E-2</v>
      </c>
      <c r="G208" s="21">
        <v>46143</v>
      </c>
      <c r="H208" s="22">
        <v>3.5000000000000003E-2</v>
      </c>
      <c r="I208" s="21">
        <v>46054</v>
      </c>
      <c r="J208" s="22">
        <v>0</v>
      </c>
      <c r="K208" s="21">
        <v>45992</v>
      </c>
      <c r="L208" s="22"/>
      <c r="M208" s="21"/>
      <c r="N208" s="22"/>
      <c r="O208" s="21"/>
      <c r="P208" s="22"/>
      <c r="Q208" s="21"/>
      <c r="R208" s="22"/>
      <c r="S208" s="21"/>
    </row>
    <row r="209" spans="1:21" ht="16.5" thickBot="1" x14ac:dyDescent="0.3">
      <c r="A209" s="132"/>
      <c r="B209" s="363"/>
      <c r="C209" s="363"/>
      <c r="D209" s="364"/>
      <c r="E209" s="363"/>
      <c r="F209" s="363"/>
      <c r="G209" s="363"/>
      <c r="H209" s="363"/>
      <c r="I209" s="363"/>
      <c r="J209" s="363"/>
      <c r="K209" s="363"/>
      <c r="L209" s="363"/>
      <c r="M209" s="363"/>
      <c r="N209" s="363"/>
      <c r="O209" s="363"/>
      <c r="P209" s="363"/>
      <c r="Q209" s="363"/>
      <c r="R209" s="363"/>
      <c r="S209" s="363"/>
      <c r="T209" s="363"/>
      <c r="U209" s="363"/>
    </row>
    <row r="210" spans="1:21" ht="20.25" x14ac:dyDescent="0.3">
      <c r="A210" s="132"/>
      <c r="B210" s="122" t="s">
        <v>481</v>
      </c>
      <c r="C210" s="365"/>
      <c r="D210" s="362"/>
      <c r="E210" s="231"/>
      <c r="F210" s="365"/>
      <c r="G210" s="231"/>
      <c r="H210" s="365"/>
      <c r="I210" s="231"/>
      <c r="J210" s="365"/>
      <c r="K210" s="231"/>
      <c r="L210" s="365"/>
      <c r="M210" s="366">
        <v>0</v>
      </c>
      <c r="N210" s="367" t="s">
        <v>482</v>
      </c>
      <c r="O210" s="368" t="str">
        <f>numhorasmed&amp;" horas"</f>
        <v>36 horas</v>
      </c>
      <c r="P210" s="369">
        <f>porcantighorasmed</f>
        <v>1.2</v>
      </c>
    </row>
    <row r="211" spans="1:21" ht="15.75" x14ac:dyDescent="0.25">
      <c r="A211" s="132"/>
      <c r="B211" s="169"/>
      <c r="C211" s="365"/>
      <c r="D211" s="362"/>
      <c r="E211" s="231"/>
      <c r="F211" s="365"/>
      <c r="G211" s="231"/>
      <c r="H211" s="365"/>
      <c r="I211" s="231"/>
      <c r="J211" s="365"/>
      <c r="K211" s="231"/>
      <c r="L211" s="365"/>
      <c r="M211" s="159">
        <v>45992</v>
      </c>
      <c r="N211" s="160">
        <f>K224</f>
        <v>1483477.8255756234</v>
      </c>
      <c r="O211" s="161"/>
      <c r="P211" s="96"/>
    </row>
    <row r="212" spans="1:21" ht="18" x14ac:dyDescent="0.25">
      <c r="A212" s="132"/>
      <c r="B212" s="169"/>
      <c r="C212" s="365"/>
      <c r="D212" s="362"/>
      <c r="E212" s="231"/>
      <c r="F212" s="365"/>
      <c r="G212" s="231"/>
      <c r="H212" s="365"/>
      <c r="I212" s="231"/>
      <c r="J212" s="365"/>
      <c r="K212" s="231"/>
      <c r="L212" s="365"/>
      <c r="M212" s="159">
        <v>46054</v>
      </c>
      <c r="N212" s="160">
        <f>I224</f>
        <v>1513477.8255756234</v>
      </c>
      <c r="O212" s="162">
        <f>N212-$N$211</f>
        <v>30000</v>
      </c>
      <c r="P212" s="163">
        <f>O212/N$211</f>
        <v>2.0222749193004833E-2</v>
      </c>
      <c r="Q212" s="575" t="s">
        <v>502</v>
      </c>
      <c r="R212" s="574"/>
      <c r="S212" s="574"/>
      <c r="T212" s="574"/>
    </row>
    <row r="213" spans="1:21" ht="16.5" thickBot="1" x14ac:dyDescent="0.3">
      <c r="A213" s="132"/>
      <c r="B213" s="132"/>
      <c r="C213" s="132"/>
      <c r="D213" s="149"/>
      <c r="E213" s="370"/>
      <c r="F213" s="365"/>
      <c r="G213" s="370"/>
      <c r="H213" s="365"/>
      <c r="I213" s="370"/>
      <c r="J213" s="365"/>
      <c r="K213" s="370"/>
      <c r="L213" s="365"/>
      <c r="M213" s="159">
        <v>46143</v>
      </c>
      <c r="N213" s="160">
        <f>G224</f>
        <v>1563785.3277945442</v>
      </c>
      <c r="O213" s="162">
        <f>N213-$N$211</f>
        <v>80307.502218920738</v>
      </c>
      <c r="P213" s="163">
        <f>O213/N$211</f>
        <v>5.4134615856330434E-2</v>
      </c>
    </row>
    <row r="214" spans="1:21" ht="16.5" thickBot="1" x14ac:dyDescent="0.3">
      <c r="A214" s="132"/>
      <c r="B214" s="166" t="s">
        <v>483</v>
      </c>
      <c r="C214" s="167"/>
      <c r="D214" s="371">
        <v>36</v>
      </c>
      <c r="E214" s="372"/>
      <c r="F214" s="373"/>
      <c r="G214" s="372"/>
      <c r="H214" s="373"/>
      <c r="I214" s="372"/>
      <c r="J214" s="373"/>
      <c r="K214" s="372"/>
      <c r="L214" s="373"/>
      <c r="M214" s="159"/>
      <c r="N214" s="160"/>
      <c r="O214" s="162"/>
      <c r="P214" s="163"/>
    </row>
    <row r="215" spans="1:21" ht="16.5" thickBot="1" x14ac:dyDescent="0.3">
      <c r="A215" s="132"/>
      <c r="B215" s="166" t="s">
        <v>436</v>
      </c>
      <c r="C215" s="167"/>
      <c r="D215" s="168">
        <v>1.2</v>
      </c>
      <c r="E215" s="375"/>
      <c r="F215" s="376"/>
      <c r="G215" s="375"/>
      <c r="H215" s="376"/>
      <c r="I215" s="375"/>
      <c r="J215" s="376"/>
      <c r="K215" s="375"/>
      <c r="L215" s="376"/>
      <c r="M215" s="159"/>
      <c r="N215" s="160"/>
      <c r="O215" s="162"/>
      <c r="P215" s="163"/>
      <c r="Q215" s="20"/>
      <c r="R215" s="376"/>
      <c r="S215" s="377"/>
      <c r="T215" s="378"/>
      <c r="U215" s="379"/>
    </row>
    <row r="216" spans="1:21" ht="16.5" thickBot="1" x14ac:dyDescent="0.3">
      <c r="A216" s="132"/>
      <c r="B216" s="381">
        <v>1</v>
      </c>
      <c r="C216" s="152"/>
      <c r="D216" s="382">
        <v>0.82</v>
      </c>
      <c r="E216" s="375"/>
      <c r="F216" s="383"/>
      <c r="G216" s="375"/>
      <c r="H216" s="383"/>
      <c r="I216" s="375"/>
      <c r="J216" s="383"/>
      <c r="K216" s="375"/>
      <c r="L216" s="383"/>
      <c r="M216" s="159"/>
      <c r="N216" s="160"/>
      <c r="O216" s="162"/>
      <c r="P216" s="163"/>
      <c r="Q216" s="19"/>
      <c r="R216" s="383"/>
      <c r="S216" s="375"/>
      <c r="T216" s="378"/>
      <c r="U216" s="379"/>
    </row>
    <row r="217" spans="1:21" ht="18" x14ac:dyDescent="0.25">
      <c r="A217" s="132"/>
      <c r="B217" s="384" t="s">
        <v>484</v>
      </c>
      <c r="C217" s="157"/>
      <c r="D217" s="385">
        <v>1</v>
      </c>
      <c r="E217" s="375"/>
      <c r="F217" s="383"/>
      <c r="G217" s="375"/>
      <c r="H217" s="383"/>
      <c r="I217" s="375"/>
      <c r="J217" s="383"/>
      <c r="K217" s="375"/>
      <c r="L217" s="383"/>
      <c r="M217" s="159"/>
      <c r="N217" s="160"/>
      <c r="O217" s="162"/>
      <c r="P217" s="163"/>
      <c r="Q217" s="19"/>
      <c r="R217" s="383"/>
      <c r="S217" s="375"/>
      <c r="T217" s="378"/>
      <c r="U217" s="379"/>
    </row>
    <row r="218" spans="1:21" ht="18" x14ac:dyDescent="0.25">
      <c r="A218" s="132"/>
      <c r="B218" s="386"/>
      <c r="C218" s="157"/>
      <c r="D218" s="387"/>
      <c r="E218" s="375"/>
      <c r="F218" s="383"/>
      <c r="G218" s="375"/>
      <c r="H218" s="383"/>
      <c r="I218" s="375"/>
      <c r="J218" s="383"/>
      <c r="K218" s="375"/>
      <c r="L218" s="383"/>
      <c r="M218" s="177" t="s">
        <v>442</v>
      </c>
      <c r="N218" s="379"/>
      <c r="O218" s="388"/>
      <c r="P218" s="380"/>
      <c r="Q218" s="578"/>
      <c r="R218" s="579"/>
      <c r="S218" s="578"/>
      <c r="T218" s="580"/>
      <c r="U218" s="581"/>
    </row>
    <row r="219" spans="1:21" ht="15.75" x14ac:dyDescent="0.25">
      <c r="A219" s="132"/>
      <c r="B219" s="386"/>
      <c r="C219" s="157"/>
      <c r="D219" s="387"/>
      <c r="E219" s="375"/>
      <c r="F219" s="383"/>
      <c r="G219" s="375"/>
      <c r="H219" s="383"/>
      <c r="I219" s="375"/>
      <c r="J219" s="383"/>
      <c r="K219" s="375"/>
      <c r="L219" s="383"/>
      <c r="M219" s="375"/>
      <c r="N219" s="383"/>
      <c r="O219" s="375"/>
      <c r="P219" s="579"/>
      <c r="Q219" s="578"/>
      <c r="R219" s="579"/>
      <c r="S219" s="578"/>
      <c r="T219" s="579"/>
      <c r="U219" s="578"/>
    </row>
    <row r="220" spans="1:21" ht="15.75" x14ac:dyDescent="0.25">
      <c r="A220" s="132"/>
      <c r="D220" s="69"/>
      <c r="E220" s="377" t="s">
        <v>485</v>
      </c>
      <c r="F220" s="389"/>
      <c r="G220" s="377" t="s">
        <v>485</v>
      </c>
      <c r="H220" s="389"/>
      <c r="I220" s="377" t="s">
        <v>485</v>
      </c>
      <c r="J220" s="389"/>
      <c r="K220" s="377" t="s">
        <v>485</v>
      </c>
      <c r="L220" s="389"/>
      <c r="M220" s="377" t="s">
        <v>485</v>
      </c>
      <c r="N220" s="389"/>
      <c r="O220" s="377"/>
      <c r="P220" s="583"/>
      <c r="Q220" s="584"/>
      <c r="R220" s="583"/>
      <c r="S220" s="584"/>
      <c r="T220" s="583"/>
      <c r="U220" s="584"/>
    </row>
    <row r="221" spans="1:21" ht="15.75" x14ac:dyDescent="0.25">
      <c r="A221" s="132"/>
      <c r="B221" s="390"/>
      <c r="C221" s="157"/>
      <c r="D221" s="391"/>
      <c r="E221" s="377"/>
      <c r="F221" s="389"/>
      <c r="G221" s="377"/>
      <c r="H221" s="389"/>
      <c r="I221" s="377"/>
      <c r="J221" s="389"/>
      <c r="K221" s="377"/>
      <c r="L221" s="389"/>
      <c r="M221" s="377"/>
      <c r="N221" s="389"/>
      <c r="O221" s="377"/>
      <c r="P221" s="583"/>
      <c r="Q221" s="584"/>
      <c r="R221" s="583"/>
      <c r="S221" s="584"/>
      <c r="T221" s="583"/>
      <c r="U221" s="584"/>
    </row>
    <row r="222" spans="1:21" ht="20.25" x14ac:dyDescent="0.3">
      <c r="A222" s="132"/>
      <c r="B222" s="390"/>
      <c r="C222" s="157"/>
      <c r="E222" s="612"/>
      <c r="G222" s="612"/>
      <c r="P222" s="582"/>
      <c r="Q222" s="582"/>
      <c r="R222" s="582"/>
      <c r="S222" s="582"/>
      <c r="T222" s="582"/>
      <c r="U222" s="585"/>
    </row>
    <row r="223" spans="1:21" ht="24" thickBot="1" x14ac:dyDescent="0.4">
      <c r="A223" s="132"/>
      <c r="B223" s="390"/>
      <c r="C223" s="157"/>
      <c r="D223" s="641" t="s">
        <v>526</v>
      </c>
      <c r="E223" s="642">
        <f>E224-E227</f>
        <v>312720.40069420985</v>
      </c>
      <c r="F223" s="610" t="s">
        <v>514</v>
      </c>
      <c r="G223" s="642">
        <f>G224-G227</f>
        <v>303878.21927107754</v>
      </c>
      <c r="H223" s="610" t="s">
        <v>524</v>
      </c>
      <c r="I223" s="392"/>
      <c r="J223" s="610" t="s">
        <v>515</v>
      </c>
      <c r="K223" s="392"/>
      <c r="M223" s="392"/>
      <c r="O223" s="392"/>
      <c r="P223" s="582"/>
      <c r="Q223" s="586"/>
      <c r="R223" s="582"/>
      <c r="S223" s="586"/>
      <c r="T223" s="582"/>
      <c r="U223" s="586"/>
    </row>
    <row r="224" spans="1:21" ht="24.75" thickTop="1" thickBot="1" x14ac:dyDescent="0.35">
      <c r="A224" s="132"/>
      <c r="B224" s="132"/>
      <c r="C224" s="132"/>
      <c r="D224" s="393" t="str">
        <f>D280</f>
        <v>Líquido</v>
      </c>
      <c r="E224" s="631">
        <f>E250</f>
        <v>1608415.0750828802</v>
      </c>
      <c r="F224" s="635">
        <f>E224/1531473</f>
        <v>1.0502405691010421</v>
      </c>
      <c r="G224" s="633">
        <f>G250</f>
        <v>1563785.3277945442</v>
      </c>
      <c r="H224" s="609">
        <f>G224/1469768</f>
        <v>1.0639674613915557</v>
      </c>
      <c r="I224" s="394">
        <f>I250</f>
        <v>1513477.8255756234</v>
      </c>
      <c r="J224" s="181"/>
      <c r="K224" s="394">
        <f>K250</f>
        <v>1483477.8255756234</v>
      </c>
      <c r="L224" s="181"/>
      <c r="N224" s="582"/>
      <c r="O224" s="582"/>
      <c r="P224" s="582"/>
      <c r="Q224" s="582"/>
      <c r="R224" s="582"/>
      <c r="S224" s="582"/>
    </row>
    <row r="225" spans="1:12" ht="24.75" thickTop="1" thickBot="1" x14ac:dyDescent="0.35">
      <c r="A225" s="132"/>
      <c r="B225" s="132"/>
      <c r="C225" s="132"/>
      <c r="D225" s="182" t="s">
        <v>443</v>
      </c>
      <c r="E225" s="632">
        <f>E252</f>
        <v>1559038.1697101102</v>
      </c>
      <c r="F225" s="635">
        <f>E225/1531473</f>
        <v>1.0179991222242313</v>
      </c>
      <c r="G225" s="634">
        <f>G252</f>
        <v>1515804.5563306899</v>
      </c>
      <c r="H225" s="609">
        <f>G225/1469768</f>
        <v>1.0313223286468953</v>
      </c>
      <c r="I225" s="180">
        <f>I252</f>
        <v>1467070.8028777416</v>
      </c>
      <c r="J225" s="181"/>
      <c r="K225" s="180">
        <f>K252</f>
        <v>1437070.8028777416</v>
      </c>
      <c r="L225" s="181"/>
    </row>
    <row r="226" spans="1:12" ht="17.25" thickTop="1" thickBot="1" x14ac:dyDescent="0.3">
      <c r="A226" s="132"/>
      <c r="B226" s="172" t="str">
        <f>B282</f>
        <v>Puntos básicos</v>
      </c>
      <c r="C226" s="395"/>
      <c r="D226" s="173">
        <f>D282</f>
        <v>2330.2800000000002</v>
      </c>
      <c r="E226" s="377"/>
      <c r="F226" s="636"/>
      <c r="G226" s="598"/>
      <c r="I226" s="377"/>
      <c r="J226" s="396"/>
      <c r="K226" s="377"/>
      <c r="L226" s="396"/>
    </row>
    <row r="227" spans="1:12" ht="23.25" x14ac:dyDescent="0.35">
      <c r="A227" s="132"/>
      <c r="B227" s="630" t="s">
        <v>525</v>
      </c>
      <c r="C227" s="640">
        <v>0.19</v>
      </c>
      <c r="D227" s="605" t="str">
        <f>"Con Desc. Reforma "&amp; descreformamed*100&amp;" %"</f>
        <v>Con Desc. Reforma 19 %</v>
      </c>
      <c r="E227" s="606">
        <f>E250-(E241-E240)*descreformamed</f>
        <v>1295694.6743886704</v>
      </c>
      <c r="F227" s="637">
        <f>E227/1531473</f>
        <v>0.84604473888124077</v>
      </c>
      <c r="G227" s="606">
        <f>G250-(G241-G240)*descreformamed</f>
        <v>1259907.1085234666</v>
      </c>
      <c r="H227" s="611">
        <f>G227/1469768</f>
        <v>0.85721495400870518</v>
      </c>
      <c r="I227" s="606"/>
      <c r="J227" s="604"/>
      <c r="K227" s="598"/>
      <c r="L227" s="396"/>
    </row>
    <row r="228" spans="1:12" ht="23.25" x14ac:dyDescent="0.35">
      <c r="A228" s="132"/>
      <c r="B228" s="600" t="s">
        <v>523</v>
      </c>
      <c r="C228" s="597"/>
      <c r="D228" s="607" t="s">
        <v>516</v>
      </c>
      <c r="E228" s="613">
        <f>0.82*E227/E224</f>
        <v>0.66056930792193769</v>
      </c>
      <c r="F228" s="608"/>
      <c r="G228" s="613">
        <f>0.82*G227/G224</f>
        <v>0.66065578863454977</v>
      </c>
      <c r="H228" s="608"/>
      <c r="I228" s="606"/>
      <c r="J228" s="604"/>
      <c r="K228" s="598"/>
      <c r="L228" s="396"/>
    </row>
    <row r="229" spans="1:12" ht="23.25" x14ac:dyDescent="0.35">
      <c r="A229" s="132"/>
      <c r="C229" s="23"/>
      <c r="D229" s="397"/>
      <c r="E229" s="21">
        <v>46143</v>
      </c>
      <c r="F229" s="22">
        <v>3.5000000000000003E-2</v>
      </c>
      <c r="G229" s="21">
        <v>46143</v>
      </c>
      <c r="H229" s="22">
        <v>3.5000000000000003E-2</v>
      </c>
      <c r="I229" s="21">
        <v>46054</v>
      </c>
      <c r="J229" s="22">
        <v>0</v>
      </c>
      <c r="K229" s="21">
        <v>45992</v>
      </c>
      <c r="L229" s="22"/>
    </row>
    <row r="230" spans="1:12" ht="16.5" thickBot="1" x14ac:dyDescent="0.3">
      <c r="A230" s="132"/>
      <c r="D230" s="398">
        <f t="shared" ref="D230:G238" si="96">D284</f>
        <v>0</v>
      </c>
      <c r="E230" s="399"/>
      <c r="F230" s="400"/>
      <c r="G230" s="399"/>
      <c r="H230" s="400"/>
      <c r="I230" s="399"/>
      <c r="J230" s="400"/>
      <c r="K230" s="399"/>
      <c r="L230" s="400"/>
    </row>
    <row r="231" spans="1:12" ht="15.75" x14ac:dyDescent="0.25">
      <c r="A231" s="132"/>
      <c r="B231" s="131">
        <f t="shared" ref="B231:C237" si="97">B285</f>
        <v>400</v>
      </c>
      <c r="C231" s="131">
        <f t="shared" si="97"/>
        <v>0</v>
      </c>
      <c r="D231" s="131" t="str">
        <f t="shared" si="96"/>
        <v>Sueldo básico</v>
      </c>
      <c r="E231" s="401">
        <f t="shared" ref="E231" si="98">E285</f>
        <v>537835.21515037445</v>
      </c>
      <c r="F231" s="279"/>
      <c r="G231" s="401">
        <f t="shared" si="96"/>
        <v>522170.11179648002</v>
      </c>
      <c r="H231" s="279"/>
      <c r="I231" s="401">
        <f t="shared" ref="I231" si="99">I285</f>
        <v>504512.08814118482</v>
      </c>
      <c r="J231" s="279"/>
      <c r="K231" s="401">
        <f t="shared" ref="K231" si="100">K285</f>
        <v>504512.08814118482</v>
      </c>
      <c r="L231" s="279"/>
    </row>
    <row r="232" spans="1:12" ht="15.75" x14ac:dyDescent="0.25">
      <c r="A232" s="132"/>
      <c r="B232" s="131">
        <f t="shared" si="97"/>
        <v>406</v>
      </c>
      <c r="C232" s="131">
        <f t="shared" si="97"/>
        <v>0</v>
      </c>
      <c r="D232" s="131" t="str">
        <f t="shared" si="96"/>
        <v>Antigüedad</v>
      </c>
      <c r="E232" s="402">
        <f t="shared" ref="E232" si="101">E286</f>
        <v>670002.25818044937</v>
      </c>
      <c r="F232" s="403"/>
      <c r="G232" s="402">
        <f t="shared" si="96"/>
        <v>651204.134155776</v>
      </c>
      <c r="H232" s="403"/>
      <c r="I232" s="402">
        <f t="shared" ref="I232" si="102">I286</f>
        <v>630014.5057694217</v>
      </c>
      <c r="J232" s="403"/>
      <c r="K232" s="402">
        <f t="shared" ref="K232" si="103">K286</f>
        <v>630014.5057694217</v>
      </c>
      <c r="L232" s="403"/>
    </row>
    <row r="233" spans="1:12" ht="15.75" x14ac:dyDescent="0.25">
      <c r="A233" s="132"/>
      <c r="B233" s="131">
        <f t="shared" si="97"/>
        <v>432</v>
      </c>
      <c r="C233" s="131">
        <f t="shared" si="97"/>
        <v>0</v>
      </c>
      <c r="D233" s="131" t="str">
        <f t="shared" si="96"/>
        <v>Dto. 1109/05(cod06act)</v>
      </c>
      <c r="E233" s="402">
        <f t="shared" ref="E233" si="104">E287</f>
        <v>133491.09825647998</v>
      </c>
      <c r="F233" s="403"/>
      <c r="G233" s="402">
        <f t="shared" si="96"/>
        <v>129603.00801599998</v>
      </c>
      <c r="H233" s="403"/>
      <c r="I233" s="402">
        <f t="shared" ref="I233" si="105">I287</f>
        <v>125220.29759999999</v>
      </c>
      <c r="J233" s="403"/>
      <c r="K233" s="402">
        <f t="shared" ref="K233" si="106">K287</f>
        <v>125220.29759999999</v>
      </c>
      <c r="L233" s="403"/>
    </row>
    <row r="234" spans="1:12" ht="15.75" x14ac:dyDescent="0.25">
      <c r="A234" s="132"/>
      <c r="B234" s="131">
        <f t="shared" si="97"/>
        <v>434</v>
      </c>
      <c r="C234" s="131">
        <f t="shared" si="97"/>
        <v>0</v>
      </c>
      <c r="D234" s="131" t="str">
        <f t="shared" si="96"/>
        <v>Traslado cod 188</v>
      </c>
      <c r="E234" s="402">
        <f t="shared" ref="E234" si="107">E288</f>
        <v>102627.41701169568</v>
      </c>
      <c r="F234" s="403"/>
      <c r="G234" s="402">
        <f t="shared" si="96"/>
        <v>99725.622826889026</v>
      </c>
      <c r="H234" s="403"/>
      <c r="I234" s="402">
        <f t="shared" ref="I234" si="108">I288</f>
        <v>96454.66508545533</v>
      </c>
      <c r="J234" s="403"/>
      <c r="K234" s="402">
        <f t="shared" ref="K234" si="109">K288</f>
        <v>96454.66508545533</v>
      </c>
      <c r="L234" s="403"/>
    </row>
    <row r="235" spans="1:12" ht="15.75" x14ac:dyDescent="0.25">
      <c r="A235" s="132"/>
      <c r="B235" s="193">
        <f t="shared" si="97"/>
        <v>1458</v>
      </c>
      <c r="C235" s="131">
        <f t="shared" si="97"/>
        <v>0</v>
      </c>
      <c r="D235" s="404" t="str">
        <f t="shared" si="96"/>
        <v>Adic hs media (Cod 18 en activos)</v>
      </c>
      <c r="E235" s="405">
        <f t="shared" ref="E235" si="110">E289</f>
        <v>53524.003868999993</v>
      </c>
      <c r="F235" s="406"/>
      <c r="G235" s="405">
        <f t="shared" si="96"/>
        <v>51965.052299999996</v>
      </c>
      <c r="H235" s="406"/>
      <c r="I235" s="405">
        <f t="shared" ref="I235" si="111">I289</f>
        <v>50207.78</v>
      </c>
      <c r="J235" s="406"/>
      <c r="K235" s="405">
        <f t="shared" ref="K235" si="112">K289</f>
        <v>50207.78</v>
      </c>
      <c r="L235" s="406"/>
    </row>
    <row r="236" spans="1:12" ht="15.75" x14ac:dyDescent="0.25">
      <c r="A236" s="132"/>
      <c r="B236" s="193">
        <f t="shared" si="97"/>
        <v>437</v>
      </c>
      <c r="C236" s="131">
        <f t="shared" si="97"/>
        <v>0</v>
      </c>
      <c r="D236" s="407" t="str">
        <f t="shared" si="96"/>
        <v>DTO. N1462/18 DOCENT</v>
      </c>
      <c r="E236" s="405">
        <f t="shared" ref="E236" si="113">E290</f>
        <v>37803.966606000002</v>
      </c>
      <c r="F236" s="408"/>
      <c r="G236" s="405">
        <f t="shared" si="96"/>
        <v>36702.8802</v>
      </c>
      <c r="H236" s="408"/>
      <c r="I236" s="405">
        <f t="shared" ref="I236" si="114">I290</f>
        <v>35461.72</v>
      </c>
      <c r="J236" s="408"/>
      <c r="K236" s="405">
        <f t="shared" ref="K236" si="115">K290</f>
        <v>35461.72</v>
      </c>
      <c r="L236" s="408"/>
    </row>
    <row r="237" spans="1:12" ht="15.75" x14ac:dyDescent="0.25">
      <c r="A237" s="132"/>
      <c r="B237" s="131">
        <f t="shared" si="97"/>
        <v>0</v>
      </c>
      <c r="C237" s="131">
        <f t="shared" si="97"/>
        <v>0</v>
      </c>
      <c r="D237" s="131" t="str">
        <f t="shared" si="96"/>
        <v>Otros</v>
      </c>
      <c r="E237" s="409">
        <v>0</v>
      </c>
      <c r="F237" s="410"/>
      <c r="G237" s="409">
        <v>0</v>
      </c>
      <c r="H237" s="410"/>
      <c r="I237" s="409">
        <v>0</v>
      </c>
      <c r="J237" s="410"/>
      <c r="K237" s="409">
        <v>0</v>
      </c>
      <c r="L237" s="410"/>
    </row>
    <row r="238" spans="1:12" ht="21" thickBot="1" x14ac:dyDescent="0.35">
      <c r="A238" s="132"/>
      <c r="B238" s="411">
        <f>B292</f>
        <v>1584</v>
      </c>
      <c r="C238" s="412">
        <v>15</v>
      </c>
      <c r="D238" s="407" t="str">
        <f t="shared" si="96"/>
        <v>Adic Dec 173/21 (cod 38 activos)</v>
      </c>
      <c r="E238" s="405">
        <f>E292</f>
        <v>90112.88668499999</v>
      </c>
      <c r="F238" s="408"/>
      <c r="G238" s="405">
        <f>G292</f>
        <v>87488.239499999996</v>
      </c>
      <c r="H238" s="408"/>
      <c r="I238" s="405">
        <f>I292</f>
        <v>84529.7</v>
      </c>
      <c r="J238" s="408"/>
      <c r="K238" s="405">
        <f>K292</f>
        <v>84529.7</v>
      </c>
      <c r="L238" s="408"/>
    </row>
    <row r="239" spans="1:12" ht="18.75" thickBot="1" x14ac:dyDescent="0.3">
      <c r="A239" s="132"/>
      <c r="B239" s="205">
        <v>1622</v>
      </c>
      <c r="C239" s="413">
        <v>1</v>
      </c>
      <c r="D239" s="309" t="s">
        <v>444</v>
      </c>
      <c r="E239" s="310">
        <f>E293</f>
        <v>20500</v>
      </c>
      <c r="F239" s="311"/>
      <c r="G239" s="310">
        <f>G293</f>
        <v>20500</v>
      </c>
      <c r="H239" s="311"/>
      <c r="I239" s="310">
        <f>I293</f>
        <v>20500</v>
      </c>
      <c r="J239" s="311"/>
      <c r="K239" s="310">
        <f>K293</f>
        <v>20500</v>
      </c>
      <c r="L239" s="311"/>
    </row>
    <row r="240" spans="1:12" ht="20.25" x14ac:dyDescent="0.3">
      <c r="A240" s="132"/>
      <c r="B240" s="569">
        <v>1650</v>
      </c>
      <c r="C240" s="568">
        <v>1</v>
      </c>
      <c r="D240" s="570" t="s">
        <v>501</v>
      </c>
      <c r="E240" s="571">
        <f>E294</f>
        <v>30000</v>
      </c>
      <c r="F240" s="572"/>
      <c r="G240" s="571">
        <f>G294</f>
        <v>30000</v>
      </c>
      <c r="H240" s="572"/>
      <c r="I240" s="571">
        <f>I294</f>
        <v>30000</v>
      </c>
      <c r="J240" s="572"/>
      <c r="K240" s="571">
        <f>K294</f>
        <v>0</v>
      </c>
      <c r="L240" s="572"/>
    </row>
    <row r="241" spans="1:12" ht="18" x14ac:dyDescent="0.25">
      <c r="A241" s="132"/>
      <c r="B241" s="131">
        <f t="shared" ref="B241:B246" si="116">B295</f>
        <v>0</v>
      </c>
      <c r="D241" s="212" t="str">
        <f t="shared" ref="D241:G248" si="117">D295</f>
        <v>Haberes</v>
      </c>
      <c r="E241" s="414">
        <f t="shared" ref="E241" si="118">E295</f>
        <v>1675896.8457589992</v>
      </c>
      <c r="F241" s="415"/>
      <c r="G241" s="414">
        <f t="shared" si="117"/>
        <v>1629359.048795145</v>
      </c>
      <c r="H241" s="415"/>
      <c r="I241" s="414">
        <f t="shared" ref="I241" si="119">I295</f>
        <v>1576900.7565960619</v>
      </c>
      <c r="J241" s="415"/>
      <c r="K241" s="414">
        <f t="shared" ref="K241" si="120">K295</f>
        <v>1546900.7565960619</v>
      </c>
      <c r="L241" s="415"/>
    </row>
    <row r="242" spans="1:12" ht="15.75" x14ac:dyDescent="0.25">
      <c r="A242" s="132"/>
      <c r="B242" s="131">
        <f t="shared" si="116"/>
        <v>703</v>
      </c>
      <c r="C242" s="214">
        <f>C296</f>
        <v>2.5000000000000001E-3</v>
      </c>
      <c r="D242" s="416" t="str">
        <f t="shared" si="117"/>
        <v>Federació de  jubil</v>
      </c>
      <c r="E242" s="417">
        <f t="shared" ref="E242" si="121">E296</f>
        <v>4114.742114397498</v>
      </c>
      <c r="F242" s="277"/>
      <c r="G242" s="417">
        <f t="shared" si="117"/>
        <v>3998.3976219878627</v>
      </c>
      <c r="H242" s="277"/>
      <c r="I242" s="417">
        <f t="shared" ref="I242" si="122">I296</f>
        <v>3867.2518914901548</v>
      </c>
      <c r="J242" s="277"/>
      <c r="K242" s="417">
        <f t="shared" ref="K242" si="123">K296</f>
        <v>3867.2518914901548</v>
      </c>
      <c r="L242" s="277"/>
    </row>
    <row r="243" spans="1:12" ht="15.75" x14ac:dyDescent="0.25">
      <c r="A243" s="132"/>
      <c r="B243" s="131">
        <f t="shared" si="116"/>
        <v>707</v>
      </c>
      <c r="C243" s="418">
        <f>C297</f>
        <v>0.03</v>
      </c>
      <c r="D243" s="131" t="str">
        <f t="shared" si="117"/>
        <v>Aporte IOSPER</v>
      </c>
      <c r="E243" s="419">
        <f t="shared" ref="E243" si="124">E297</f>
        <v>49376.905372769972</v>
      </c>
      <c r="F243" s="403"/>
      <c r="G243" s="419">
        <f t="shared" si="117"/>
        <v>47980.771463854348</v>
      </c>
      <c r="H243" s="403"/>
      <c r="I243" s="419">
        <f t="shared" ref="I243" si="125">I297</f>
        <v>46407.022697881854</v>
      </c>
      <c r="J243" s="403"/>
      <c r="K243" s="419">
        <f t="shared" ref="K243" si="126">K297</f>
        <v>46407.022697881854</v>
      </c>
      <c r="L243" s="403"/>
    </row>
    <row r="244" spans="1:12" ht="15.75" x14ac:dyDescent="0.25">
      <c r="A244" s="132"/>
      <c r="B244" s="131">
        <f t="shared" si="116"/>
        <v>709</v>
      </c>
      <c r="C244" s="420">
        <v>1.5E-3</v>
      </c>
      <c r="D244" s="131" t="str">
        <f t="shared" si="117"/>
        <v>Seguro ley 3011</v>
      </c>
      <c r="E244" s="419">
        <f t="shared" ref="E244" si="127">E298</f>
        <v>2468.845268638499</v>
      </c>
      <c r="F244" s="403"/>
      <c r="G244" s="419">
        <f t="shared" si="117"/>
        <v>2399.0385731927176</v>
      </c>
      <c r="H244" s="403"/>
      <c r="I244" s="419">
        <f t="shared" ref="I244" si="128">I298</f>
        <v>2320.3511348940929</v>
      </c>
      <c r="J244" s="403"/>
      <c r="K244" s="419">
        <f t="shared" ref="K244" si="129">K298</f>
        <v>2320.3511348940929</v>
      </c>
      <c r="L244" s="403"/>
    </row>
    <row r="245" spans="1:12" ht="15.75" x14ac:dyDescent="0.25">
      <c r="A245" s="132"/>
      <c r="B245" s="131">
        <f t="shared" si="116"/>
        <v>713</v>
      </c>
      <c r="C245" s="421">
        <f>C299</f>
        <v>7.0000000000000001E-3</v>
      </c>
      <c r="D245" s="131" t="str">
        <f t="shared" si="117"/>
        <v>Serv Sepelio IAPS</v>
      </c>
      <c r="E245" s="419">
        <f t="shared" ref="E245" si="130">E299</f>
        <v>11521.277920312994</v>
      </c>
      <c r="F245" s="403"/>
      <c r="G245" s="419">
        <f t="shared" si="117"/>
        <v>11195.513341566015</v>
      </c>
      <c r="H245" s="403"/>
      <c r="I245" s="419">
        <f t="shared" ref="I245" si="131">I299</f>
        <v>10828.305296172433</v>
      </c>
      <c r="J245" s="403"/>
      <c r="K245" s="419">
        <f t="shared" ref="K245" si="132">K299</f>
        <v>10828.305296172433</v>
      </c>
      <c r="L245" s="403"/>
    </row>
    <row r="246" spans="1:12" ht="18.75" thickBot="1" x14ac:dyDescent="0.3">
      <c r="A246" s="132"/>
      <c r="B246" s="422">
        <f t="shared" si="116"/>
        <v>787</v>
      </c>
      <c r="C246" s="588">
        <v>0</v>
      </c>
      <c r="D246" s="131" t="str">
        <f t="shared" si="117"/>
        <v>Desc AGMER 1 %</v>
      </c>
      <c r="E246" s="419">
        <f t="shared" ref="E246" si="133">E300</f>
        <v>0</v>
      </c>
      <c r="F246" s="403"/>
      <c r="G246" s="419">
        <f t="shared" si="117"/>
        <v>0</v>
      </c>
      <c r="H246" s="403"/>
      <c r="I246" s="419">
        <f t="shared" ref="I246" si="134">I300</f>
        <v>0</v>
      </c>
      <c r="J246" s="403"/>
      <c r="K246" s="419">
        <f t="shared" ref="K246" si="135">K300</f>
        <v>0</v>
      </c>
      <c r="L246" s="403"/>
    </row>
    <row r="247" spans="1:12" ht="16.5" thickBot="1" x14ac:dyDescent="0.3">
      <c r="A247" s="132"/>
      <c r="B247" s="423"/>
      <c r="C247" s="424"/>
      <c r="D247" s="199" t="str">
        <f t="shared" si="117"/>
        <v>Otros descuentos</v>
      </c>
      <c r="E247" s="425">
        <v>0</v>
      </c>
      <c r="F247" s="410"/>
      <c r="G247" s="425">
        <v>0</v>
      </c>
      <c r="H247" s="410"/>
      <c r="I247" s="425">
        <v>0</v>
      </c>
      <c r="J247" s="410"/>
      <c r="K247" s="425">
        <v>0</v>
      </c>
      <c r="L247" s="410"/>
    </row>
    <row r="248" spans="1:12" ht="16.5" thickBot="1" x14ac:dyDescent="0.3">
      <c r="A248" s="132"/>
      <c r="B248" s="132"/>
      <c r="C248" s="426"/>
      <c r="D248" s="427" t="str">
        <f t="shared" si="117"/>
        <v>Descuentos</v>
      </c>
      <c r="E248" s="428">
        <f>E302</f>
        <v>67481.770676118962</v>
      </c>
      <c r="F248" s="429"/>
      <c r="G248" s="428">
        <f>G302</f>
        <v>65573.721000600941</v>
      </c>
      <c r="H248" s="429"/>
      <c r="I248" s="428">
        <f>I302</f>
        <v>63422.931020438533</v>
      </c>
      <c r="J248" s="429"/>
      <c r="K248" s="428">
        <f>K302</f>
        <v>63422.931020438533</v>
      </c>
      <c r="L248" s="429"/>
    </row>
    <row r="249" spans="1:12" ht="16.5" thickBot="1" x14ac:dyDescent="0.3">
      <c r="A249" s="132"/>
      <c r="B249" s="20"/>
      <c r="C249" s="233"/>
      <c r="D249" s="430"/>
      <c r="E249" s="230"/>
      <c r="F249" s="231"/>
      <c r="G249" s="230"/>
      <c r="H249" s="231"/>
      <c r="I249" s="230"/>
      <c r="J249" s="231"/>
      <c r="K249" s="230"/>
      <c r="L249" s="231"/>
    </row>
    <row r="250" spans="1:12" ht="24" thickBot="1" x14ac:dyDescent="0.4">
      <c r="A250" s="132"/>
      <c r="B250" s="232"/>
      <c r="C250" s="233"/>
      <c r="D250" s="431" t="str">
        <f>D304</f>
        <v>Líquido</v>
      </c>
      <c r="E250" s="432">
        <f>E304</f>
        <v>1608415.0750828802</v>
      </c>
      <c r="F250" s="236"/>
      <c r="G250" s="432">
        <f>G304</f>
        <v>1563785.3277945442</v>
      </c>
      <c r="H250" s="236"/>
      <c r="I250" s="432">
        <f>I304</f>
        <v>1513477.8255756234</v>
      </c>
      <c r="J250" s="236"/>
      <c r="K250" s="432">
        <f>K304</f>
        <v>1483477.8255756234</v>
      </c>
      <c r="L250" s="236"/>
    </row>
    <row r="251" spans="1:12" ht="18.75" thickBot="1" x14ac:dyDescent="0.3">
      <c r="A251" s="132"/>
      <c r="B251" s="232"/>
      <c r="C251" s="232"/>
      <c r="D251" s="433" t="s">
        <v>445</v>
      </c>
      <c r="E251" s="434">
        <f>E305</f>
        <v>49376.905372769972</v>
      </c>
      <c r="F251" s="433"/>
      <c r="G251" s="434">
        <f>G305</f>
        <v>47980.771463854348</v>
      </c>
      <c r="H251" s="433"/>
      <c r="I251" s="434">
        <f>I305</f>
        <v>46407.022697881854</v>
      </c>
      <c r="J251" s="433"/>
      <c r="K251" s="434">
        <f>K305</f>
        <v>46407.022697881854</v>
      </c>
      <c r="L251" s="433"/>
    </row>
    <row r="252" spans="1:12" ht="24" thickBot="1" x14ac:dyDescent="0.4">
      <c r="A252" s="132"/>
      <c r="B252" s="232"/>
      <c r="C252" s="232"/>
      <c r="D252" s="435" t="s">
        <v>446</v>
      </c>
      <c r="E252" s="432">
        <f>E306</f>
        <v>1559038.1697101102</v>
      </c>
      <c r="F252" s="433"/>
      <c r="G252" s="432">
        <f>G306</f>
        <v>1515804.5563306899</v>
      </c>
      <c r="H252" s="433"/>
      <c r="I252" s="432">
        <f>I306</f>
        <v>1467070.8028777416</v>
      </c>
      <c r="J252" s="433"/>
      <c r="K252" s="432">
        <f>K306</f>
        <v>1437070.8028777416</v>
      </c>
      <c r="L252" s="433"/>
    </row>
    <row r="253" spans="1:12" ht="21" thickBot="1" x14ac:dyDescent="0.35">
      <c r="A253" s="132"/>
      <c r="B253" s="232"/>
      <c r="C253" s="132"/>
      <c r="D253" s="436"/>
      <c r="E253" s="437"/>
      <c r="F253" s="438"/>
      <c r="G253" s="437"/>
      <c r="H253" s="438"/>
      <c r="I253" s="437"/>
      <c r="J253" s="438"/>
      <c r="K253" s="437"/>
      <c r="L253" s="438"/>
    </row>
    <row r="254" spans="1:12" ht="21.75" thickTop="1" thickBot="1" x14ac:dyDescent="0.35">
      <c r="A254" s="132"/>
      <c r="B254" s="132"/>
      <c r="C254" s="164"/>
      <c r="D254" s="242" t="str">
        <f>D308</f>
        <v>Aumento mensual</v>
      </c>
      <c r="E254" s="243">
        <f>E308</f>
        <v>44629.747288336046</v>
      </c>
      <c r="F254" s="244"/>
      <c r="G254" s="243">
        <f>G308</f>
        <v>50307.502218920738</v>
      </c>
      <c r="H254" s="244"/>
      <c r="I254" s="338">
        <f>I308</f>
        <v>30000</v>
      </c>
      <c r="J254" s="244"/>
      <c r="K254" s="243"/>
      <c r="L254" s="244"/>
    </row>
    <row r="255" spans="1:12" ht="21" thickBot="1" x14ac:dyDescent="0.35">
      <c r="A255" s="132"/>
      <c r="B255" s="132"/>
      <c r="C255" s="164"/>
      <c r="D255" s="246" t="str">
        <f>D309</f>
        <v>Aum porcentual</v>
      </c>
      <c r="E255" s="247">
        <f>E309</f>
        <v>2.8539561342015397E-2</v>
      </c>
      <c r="F255" s="248"/>
      <c r="G255" s="247">
        <f>G309</f>
        <v>3.3239669170433472E-2</v>
      </c>
      <c r="H255" s="248"/>
      <c r="I255" s="341">
        <f t="shared" ref="I255:I264" si="136">I309</f>
        <v>2.0222749193004833E-2</v>
      </c>
      <c r="J255" s="248"/>
      <c r="K255" s="247"/>
      <c r="L255" s="248"/>
    </row>
    <row r="256" spans="1:12" ht="21.75" thickTop="1" thickBot="1" x14ac:dyDescent="0.35">
      <c r="A256" s="132"/>
      <c r="B256" s="132"/>
      <c r="C256" s="132"/>
      <c r="D256" s="149"/>
      <c r="E256" s="249"/>
      <c r="F256" s="250"/>
      <c r="G256" s="249"/>
      <c r="H256" s="250"/>
      <c r="I256" s="291">
        <f t="shared" si="136"/>
        <v>0</v>
      </c>
      <c r="J256" s="250"/>
      <c r="K256" s="249"/>
      <c r="L256" s="250"/>
    </row>
    <row r="257" spans="1:12" ht="18.75" thickBot="1" x14ac:dyDescent="0.3">
      <c r="A257" s="132"/>
      <c r="B257" s="132"/>
      <c r="C257" s="132"/>
      <c r="D257" s="251" t="s">
        <v>447</v>
      </c>
      <c r="E257" s="342">
        <f>E311</f>
        <v>43233.613379420247</v>
      </c>
      <c r="F257" s="253"/>
      <c r="G257" s="342">
        <f>G311</f>
        <v>48733.753452948295</v>
      </c>
      <c r="H257" s="253"/>
      <c r="I257" s="342">
        <f t="shared" si="136"/>
        <v>30000</v>
      </c>
      <c r="J257" s="253"/>
      <c r="K257" s="342"/>
      <c r="L257" s="253"/>
    </row>
    <row r="258" spans="1:12" ht="18.75" thickBot="1" x14ac:dyDescent="0.3">
      <c r="A258" s="132"/>
      <c r="B258" s="132"/>
      <c r="C258" s="132"/>
      <c r="D258" s="251" t="s">
        <v>448</v>
      </c>
      <c r="E258" s="343">
        <f>E312</f>
        <v>2.8521891690361397E-2</v>
      </c>
      <c r="F258" s="253"/>
      <c r="G258" s="343">
        <f>G312</f>
        <v>3.3218405926526723E-2</v>
      </c>
      <c r="H258" s="253"/>
      <c r="I258" s="343">
        <f t="shared" si="136"/>
        <v>2.0875798144339753E-2</v>
      </c>
      <c r="J258" s="253"/>
      <c r="K258" s="343"/>
      <c r="L258" s="253"/>
    </row>
    <row r="259" spans="1:12" ht="21" thickBot="1" x14ac:dyDescent="0.35">
      <c r="A259" s="132"/>
      <c r="B259" s="132"/>
      <c r="C259" s="132"/>
      <c r="D259" s="149"/>
      <c r="E259" s="249"/>
      <c r="F259" s="250"/>
      <c r="G259" s="249"/>
      <c r="H259" s="250"/>
      <c r="I259" s="291">
        <f t="shared" si="136"/>
        <v>0</v>
      </c>
      <c r="J259" s="250"/>
      <c r="K259" s="249"/>
      <c r="L259" s="250"/>
    </row>
    <row r="260" spans="1:12" ht="21.75" thickTop="1" thickBot="1" x14ac:dyDescent="0.35">
      <c r="A260" s="132"/>
      <c r="B260" s="132"/>
      <c r="C260" s="132"/>
      <c r="D260" s="439" t="s">
        <v>476</v>
      </c>
      <c r="E260" s="440">
        <f>E314</f>
        <v>124937.24950725678</v>
      </c>
      <c r="F260" s="244"/>
      <c r="G260" s="440">
        <f>G314</f>
        <v>80307.502218920738</v>
      </c>
      <c r="H260" s="244"/>
      <c r="I260" s="344">
        <f t="shared" si="136"/>
        <v>30000</v>
      </c>
      <c r="J260" s="244"/>
      <c r="K260" s="440"/>
      <c r="L260" s="244"/>
    </row>
    <row r="261" spans="1:12" ht="21" thickBot="1" x14ac:dyDescent="0.35">
      <c r="A261" s="132"/>
      <c r="B261" s="132"/>
      <c r="C261" s="132"/>
      <c r="D261" s="439" t="s">
        <v>477</v>
      </c>
      <c r="E261" s="441">
        <f>E315</f>
        <v>8.4219155388304018E-2</v>
      </c>
      <c r="F261" s="248"/>
      <c r="G261" s="441">
        <f>G315</f>
        <v>5.4134615856330434E-2</v>
      </c>
      <c r="H261" s="248"/>
      <c r="I261" s="346">
        <f t="shared" si="136"/>
        <v>2.0222749193004833E-2</v>
      </c>
      <c r="J261" s="248"/>
      <c r="K261" s="441"/>
      <c r="L261" s="248"/>
    </row>
    <row r="262" spans="1:12" ht="18.75" thickBot="1" x14ac:dyDescent="0.3">
      <c r="A262" s="132"/>
      <c r="B262" s="132"/>
      <c r="C262" s="132"/>
      <c r="D262" s="259">
        <f>D316</f>
        <v>0</v>
      </c>
      <c r="E262" s="442">
        <f>E316</f>
        <v>0</v>
      </c>
      <c r="F262" s="261"/>
      <c r="G262" s="442">
        <f>G316</f>
        <v>0</v>
      </c>
      <c r="H262" s="261"/>
      <c r="I262" s="348">
        <f t="shared" si="136"/>
        <v>0</v>
      </c>
      <c r="J262" s="261"/>
      <c r="K262" s="442"/>
      <c r="L262" s="261"/>
    </row>
    <row r="263" spans="1:12" ht="19.5" thickTop="1" thickBot="1" x14ac:dyDescent="0.3">
      <c r="A263" s="132"/>
      <c r="B263" s="132"/>
      <c r="C263" s="132"/>
      <c r="D263" s="262" t="s">
        <v>449</v>
      </c>
      <c r="E263" s="443">
        <f>E317</f>
        <v>121967.36683236854</v>
      </c>
      <c r="F263" s="263"/>
      <c r="G263" s="443">
        <f>G317</f>
        <v>78733.753452948295</v>
      </c>
      <c r="H263" s="263"/>
      <c r="I263" s="344">
        <f t="shared" si="136"/>
        <v>30000</v>
      </c>
      <c r="J263" s="263"/>
      <c r="K263" s="443"/>
      <c r="L263" s="263"/>
    </row>
    <row r="264" spans="1:12" ht="19.5" thickTop="1" thickBot="1" x14ac:dyDescent="0.3">
      <c r="A264" s="132"/>
      <c r="B264" s="132"/>
      <c r="C264" s="132"/>
      <c r="D264" s="262" t="s">
        <v>450</v>
      </c>
      <c r="E264" s="444">
        <f>E318</f>
        <v>8.4872204339638838E-2</v>
      </c>
      <c r="F264" s="263"/>
      <c r="G264" s="444">
        <f>G318</f>
        <v>5.4787664807665393E-2</v>
      </c>
      <c r="H264" s="263"/>
      <c r="I264" s="346">
        <f t="shared" si="136"/>
        <v>2.0875798144339753E-2</v>
      </c>
      <c r="J264" s="263"/>
      <c r="K264" s="444"/>
      <c r="L264" s="263"/>
    </row>
    <row r="265" spans="1:12" ht="15.75" x14ac:dyDescent="0.25">
      <c r="A265" s="132"/>
      <c r="B265" s="132"/>
      <c r="C265" s="132"/>
      <c r="D265" s="69">
        <f>D319</f>
        <v>0</v>
      </c>
      <c r="E265" s="399"/>
      <c r="F265" s="121"/>
      <c r="G265" s="399"/>
      <c r="H265" s="121"/>
      <c r="I265" s="399"/>
      <c r="J265" s="121"/>
      <c r="K265" s="399"/>
      <c r="L265" s="121"/>
    </row>
    <row r="266" spans="1:12" ht="20.25" x14ac:dyDescent="0.3">
      <c r="A266" s="132"/>
      <c r="B266" s="132"/>
      <c r="C266" s="132"/>
      <c r="D266" s="445" t="str">
        <f>D320</f>
        <v>MEDIO AGUINALDO</v>
      </c>
      <c r="E266" s="446"/>
      <c r="F266" s="447"/>
      <c r="G266" s="446"/>
      <c r="H266" s="447"/>
      <c r="I266" s="446"/>
      <c r="J266" s="447"/>
      <c r="K266" s="446"/>
      <c r="L266" s="447"/>
    </row>
    <row r="267" spans="1:12" ht="15.75" x14ac:dyDescent="0.25">
      <c r="A267" s="132"/>
      <c r="B267" s="132"/>
      <c r="C267" s="132"/>
      <c r="D267" s="448"/>
      <c r="E267" s="131"/>
      <c r="F267" s="449"/>
      <c r="G267" s="131"/>
      <c r="H267" s="449"/>
      <c r="I267" s="131"/>
      <c r="J267" s="449"/>
      <c r="K267" s="131"/>
      <c r="L267" s="449"/>
    </row>
    <row r="268" spans="1:12" ht="15.75" x14ac:dyDescent="0.25">
      <c r="A268" s="132"/>
      <c r="B268" s="132"/>
      <c r="C268" s="132"/>
      <c r="D268" s="450" t="str">
        <f>D322</f>
        <v>Código 550</v>
      </c>
      <c r="E268" s="450">
        <f>E322</f>
        <v>837948.42287949962</v>
      </c>
      <c r="F268" s="451"/>
      <c r="G268" s="450">
        <f>G322</f>
        <v>814679.5243975725</v>
      </c>
      <c r="H268" s="451"/>
      <c r="I268" s="450">
        <f>I322</f>
        <v>788450.37829803093</v>
      </c>
      <c r="J268" s="451"/>
      <c r="K268" s="450">
        <f>K322</f>
        <v>773450.37829803093</v>
      </c>
      <c r="L268" s="451"/>
    </row>
    <row r="269" spans="1:12" ht="15.75" x14ac:dyDescent="0.25">
      <c r="A269" s="132"/>
      <c r="B269" s="132"/>
      <c r="C269" s="132"/>
      <c r="D269" s="452"/>
      <c r="E269" s="131"/>
      <c r="F269" s="449"/>
      <c r="G269" s="131"/>
      <c r="H269" s="449"/>
      <c r="I269" s="131"/>
      <c r="J269" s="449"/>
      <c r="K269" s="131"/>
      <c r="L269" s="449"/>
    </row>
    <row r="270" spans="1:12" ht="15.75" x14ac:dyDescent="0.25">
      <c r="A270" s="132"/>
      <c r="B270" s="132"/>
      <c r="C270" s="132"/>
      <c r="D270" s="450" t="str">
        <f t="shared" ref="D270:G276" si="137">D324</f>
        <v>Descuentos</v>
      </c>
      <c r="E270" s="131"/>
      <c r="F270" s="451"/>
      <c r="G270" s="131"/>
      <c r="H270" s="451"/>
      <c r="I270" s="131"/>
      <c r="J270" s="451"/>
      <c r="K270" s="131"/>
      <c r="L270" s="451"/>
    </row>
    <row r="271" spans="1:12" ht="15.75" x14ac:dyDescent="0.25">
      <c r="A271" s="132"/>
      <c r="B271" s="198">
        <f>B325</f>
        <v>703</v>
      </c>
      <c r="C271" s="453">
        <f>C325</f>
        <v>2.5000000000000001E-3</v>
      </c>
      <c r="D271" s="215" t="str">
        <f t="shared" si="137"/>
        <v>Federación de  jubil</v>
      </c>
      <c r="E271" s="216">
        <f t="shared" ref="E271" si="138">E325</f>
        <v>2094.871057198749</v>
      </c>
      <c r="F271" s="217"/>
      <c r="G271" s="216">
        <f t="shared" si="137"/>
        <v>2036.6988109939314</v>
      </c>
      <c r="H271" s="217"/>
      <c r="I271" s="216">
        <f t="shared" ref="I271" si="139">I325</f>
        <v>1971.1259457450774</v>
      </c>
      <c r="J271" s="217"/>
      <c r="K271" s="216">
        <f t="shared" ref="K271" si="140">K325</f>
        <v>1933.6259457450774</v>
      </c>
      <c r="L271" s="217"/>
    </row>
    <row r="272" spans="1:12" ht="15.75" x14ac:dyDescent="0.25">
      <c r="A272" s="132"/>
      <c r="B272" s="198">
        <f>B326</f>
        <v>707</v>
      </c>
      <c r="C272" s="454">
        <f>C326</f>
        <v>0.03</v>
      </c>
      <c r="D272" s="131" t="str">
        <f t="shared" si="137"/>
        <v>Aporte IOSPER</v>
      </c>
      <c r="E272" s="216">
        <f t="shared" ref="E272" si="141">E326</f>
        <v>25138.452686384986</v>
      </c>
      <c r="F272" s="211"/>
      <c r="G272" s="216">
        <f t="shared" si="137"/>
        <v>24440.385731927174</v>
      </c>
      <c r="H272" s="211"/>
      <c r="I272" s="216">
        <f t="shared" ref="I272" si="142">I326</f>
        <v>23653.511348940927</v>
      </c>
      <c r="J272" s="211"/>
      <c r="K272" s="216">
        <f t="shared" ref="K272" si="143">K326</f>
        <v>23203.511348940927</v>
      </c>
      <c r="L272" s="211"/>
    </row>
    <row r="273" spans="1:12" ht="15.75" x14ac:dyDescent="0.25">
      <c r="A273" s="132"/>
      <c r="B273" s="198">
        <f>B327</f>
        <v>709</v>
      </c>
      <c r="C273" s="455">
        <v>1.5E-3</v>
      </c>
      <c r="D273" s="131" t="str">
        <f t="shared" si="137"/>
        <v>Seguro ley 3011</v>
      </c>
      <c r="E273" s="216">
        <f t="shared" ref="E273" si="144">E327</f>
        <v>1256.9226343192495</v>
      </c>
      <c r="F273" s="211"/>
      <c r="G273" s="216">
        <f t="shared" si="137"/>
        <v>1222.0192865963588</v>
      </c>
      <c r="H273" s="211"/>
      <c r="I273" s="216">
        <f t="shared" ref="I273" si="145">I327</f>
        <v>1182.6755674470464</v>
      </c>
      <c r="J273" s="211"/>
      <c r="K273" s="216">
        <f t="shared" ref="K273" si="146">K327</f>
        <v>1160.1755674470464</v>
      </c>
      <c r="L273" s="211"/>
    </row>
    <row r="274" spans="1:12" ht="15.75" x14ac:dyDescent="0.25">
      <c r="A274" s="132"/>
      <c r="B274" s="198">
        <f>B328</f>
        <v>713</v>
      </c>
      <c r="C274" s="456">
        <f>C328</f>
        <v>7.0000000000000001E-3</v>
      </c>
      <c r="D274" s="131" t="str">
        <f t="shared" si="137"/>
        <v>Serv Sepelio IAPS</v>
      </c>
      <c r="E274" s="216">
        <f t="shared" ref="E274" si="147">E328</f>
        <v>5865.6389601564979</v>
      </c>
      <c r="F274" s="211"/>
      <c r="G274" s="216">
        <f t="shared" si="137"/>
        <v>5702.7566707830074</v>
      </c>
      <c r="H274" s="211"/>
      <c r="I274" s="216">
        <f t="shared" ref="I274" si="148">I328</f>
        <v>5519.1526480862167</v>
      </c>
      <c r="J274" s="211"/>
      <c r="K274" s="216">
        <f t="shared" ref="K274" si="149">K328</f>
        <v>5414.1526480862167</v>
      </c>
      <c r="L274" s="211"/>
    </row>
    <row r="275" spans="1:12" ht="18" x14ac:dyDescent="0.25">
      <c r="A275" s="132"/>
      <c r="B275" s="198">
        <f>B329</f>
        <v>787</v>
      </c>
      <c r="C275" s="596">
        <f>C246</f>
        <v>0</v>
      </c>
      <c r="D275" s="131" t="str">
        <f t="shared" si="137"/>
        <v>Desc AGMER 1 %</v>
      </c>
      <c r="E275" s="216">
        <f t="shared" ref="E275" si="150">E329</f>
        <v>8379.4842287949959</v>
      </c>
      <c r="F275" s="211"/>
      <c r="G275" s="216">
        <f t="shared" si="137"/>
        <v>8146.7952439757255</v>
      </c>
      <c r="H275" s="211"/>
      <c r="I275" s="216">
        <f t="shared" ref="I275" si="151">I329</f>
        <v>7884.5037829803096</v>
      </c>
      <c r="J275" s="211"/>
      <c r="K275" s="216">
        <f t="shared" ref="K275" si="152">K329</f>
        <v>7734.5037829803096</v>
      </c>
      <c r="L275" s="211"/>
    </row>
    <row r="276" spans="1:12" ht="15.75" x14ac:dyDescent="0.25">
      <c r="A276" s="132"/>
      <c r="B276" s="132"/>
      <c r="D276" s="125" t="str">
        <f t="shared" si="137"/>
        <v>Total Descuentos</v>
      </c>
      <c r="E276" s="213">
        <f t="shared" ref="E276" si="153">E330</f>
        <v>42735.369566854475</v>
      </c>
      <c r="F276" s="457"/>
      <c r="G276" s="213">
        <f t="shared" si="137"/>
        <v>41548.655744276199</v>
      </c>
      <c r="H276" s="457"/>
      <c r="I276" s="213">
        <f t="shared" ref="I276" si="154">I330</f>
        <v>40210.969293199574</v>
      </c>
      <c r="J276" s="457"/>
      <c r="K276" s="213">
        <f t="shared" ref="K276" si="155">K330</f>
        <v>39445.969293199574</v>
      </c>
      <c r="L276" s="457"/>
    </row>
    <row r="277" spans="1:12" ht="15.75" x14ac:dyDescent="0.25">
      <c r="A277" s="132"/>
      <c r="B277" s="132"/>
      <c r="C277" s="132"/>
      <c r="D277" s="131"/>
      <c r="E277" s="458"/>
      <c r="F277" s="211"/>
      <c r="G277" s="458"/>
      <c r="H277" s="211"/>
      <c r="I277" s="458"/>
      <c r="J277" s="211"/>
      <c r="K277" s="458"/>
      <c r="L277" s="211"/>
    </row>
    <row r="278" spans="1:12" ht="20.25" x14ac:dyDescent="0.3">
      <c r="A278" s="132"/>
      <c r="B278" s="132"/>
      <c r="C278" s="132"/>
      <c r="D278" s="459" t="str">
        <f>D332</f>
        <v>Líquido</v>
      </c>
      <c r="E278" s="460">
        <f>E332</f>
        <v>795213.05331264518</v>
      </c>
      <c r="F278" s="461"/>
      <c r="G278" s="460">
        <f>G332</f>
        <v>773130.86865329626</v>
      </c>
      <c r="H278" s="461"/>
      <c r="I278" s="460">
        <f>I332</f>
        <v>748239.40900483134</v>
      </c>
      <c r="J278" s="461"/>
      <c r="K278" s="460">
        <f>K332</f>
        <v>734004.40900483134</v>
      </c>
      <c r="L278" s="461"/>
    </row>
    <row r="279" spans="1:12" ht="16.5" hidden="1" thickBot="1" x14ac:dyDescent="0.3">
      <c r="A279" s="132"/>
      <c r="B279" s="390"/>
      <c r="C279" s="157"/>
      <c r="D279" s="391"/>
      <c r="E279" s="377"/>
      <c r="F279" s="389"/>
      <c r="G279" s="377"/>
      <c r="H279" s="389"/>
      <c r="I279" s="377"/>
      <c r="J279" s="389"/>
      <c r="K279" s="377"/>
      <c r="L279" s="389"/>
    </row>
    <row r="280" spans="1:12" ht="24" hidden="1" thickBot="1" x14ac:dyDescent="0.3">
      <c r="A280" s="132"/>
      <c r="B280" s="291"/>
      <c r="C280" s="291"/>
      <c r="D280" s="292" t="s">
        <v>473</v>
      </c>
      <c r="E280" s="462">
        <f>E304</f>
        <v>1608415.0750828802</v>
      </c>
      <c r="F280" s="463"/>
      <c r="G280" s="462">
        <f>G304</f>
        <v>1563785.3277945442</v>
      </c>
      <c r="H280" s="463"/>
      <c r="I280" s="462">
        <f>I304</f>
        <v>1513477.8255756234</v>
      </c>
      <c r="J280" s="463"/>
      <c r="K280" s="462">
        <f>K304</f>
        <v>1483477.8255756234</v>
      </c>
      <c r="L280" s="463"/>
    </row>
    <row r="281" spans="1:12" ht="24" hidden="1" thickBot="1" x14ac:dyDescent="0.3">
      <c r="A281" s="132"/>
      <c r="B281" s="291"/>
      <c r="C281" s="291"/>
      <c r="D281" s="292" t="s">
        <v>486</v>
      </c>
      <c r="E281" s="462">
        <f>E306</f>
        <v>1559038.1697101102</v>
      </c>
      <c r="F281" s="463"/>
      <c r="G281" s="462">
        <f>G306</f>
        <v>1515804.5563306899</v>
      </c>
      <c r="H281" s="463"/>
      <c r="I281" s="462">
        <f>I306</f>
        <v>1467070.8028777416</v>
      </c>
      <c r="J281" s="463"/>
      <c r="K281" s="462">
        <f>K306</f>
        <v>1437070.8028777416</v>
      </c>
      <c r="L281" s="463"/>
    </row>
    <row r="282" spans="1:12" ht="16.5" hidden="1" thickBot="1" x14ac:dyDescent="0.3">
      <c r="A282" s="132"/>
      <c r="B282" s="324" t="s">
        <v>439</v>
      </c>
      <c r="C282" s="291"/>
      <c r="D282" s="464">
        <f>D214*64.73</f>
        <v>2330.2800000000002</v>
      </c>
      <c r="E282" s="324"/>
      <c r="F282" s="465"/>
      <c r="G282" s="324"/>
      <c r="H282" s="465"/>
      <c r="I282" s="324"/>
      <c r="J282" s="465"/>
      <c r="K282" s="324"/>
      <c r="L282" s="465"/>
    </row>
    <row r="283" spans="1:12" ht="24" hidden="1" thickBot="1" x14ac:dyDescent="0.4">
      <c r="B283" s="350">
        <f>66853/15</f>
        <v>4456.8666666666668</v>
      </c>
      <c r="C283" s="466"/>
      <c r="D283" s="467"/>
      <c r="E283" s="21">
        <v>46204</v>
      </c>
      <c r="F283" s="22">
        <f>aumentojulio26</f>
        <v>6.6049999999999942E-2</v>
      </c>
      <c r="G283" s="21">
        <v>46143</v>
      </c>
      <c r="H283" s="22">
        <v>3.5000000000000003E-2</v>
      </c>
      <c r="I283" s="21">
        <v>46054</v>
      </c>
      <c r="J283" s="22">
        <v>0</v>
      </c>
      <c r="K283" s="21">
        <v>45992</v>
      </c>
      <c r="L283" s="22"/>
    </row>
    <row r="284" spans="1:12" ht="15.75" hidden="1" thickBot="1" x14ac:dyDescent="0.3">
      <c r="B284" s="350"/>
      <c r="C284" s="350"/>
      <c r="D284" s="466"/>
      <c r="E284" s="350"/>
      <c r="F284" s="468"/>
      <c r="G284" s="350"/>
      <c r="H284" s="468"/>
      <c r="I284" s="350"/>
      <c r="J284" s="468"/>
      <c r="K284" s="350"/>
      <c r="L284" s="468"/>
    </row>
    <row r="285" spans="1:12" ht="16.5" hidden="1" thickBot="1" x14ac:dyDescent="0.3">
      <c r="B285" s="291">
        <v>400</v>
      </c>
      <c r="C285" s="291"/>
      <c r="D285" s="291" t="s">
        <v>452</v>
      </c>
      <c r="E285" s="298">
        <f>puntotalhorasmed*indicejul26*porjubhormed</f>
        <v>537835.21515037445</v>
      </c>
      <c r="F285" s="253"/>
      <c r="G285" s="298">
        <f>puntotalhorasmed*indicemay26*porjubhormed</f>
        <v>522170.11179648002</v>
      </c>
      <c r="H285" s="253"/>
      <c r="I285" s="298">
        <f>puntotalhorasmed*indicedic25*porjubhormed</f>
        <v>504512.08814118482</v>
      </c>
      <c r="J285" s="253"/>
      <c r="K285" s="298">
        <f>puntotalhorasmed*indicedic25*porjubhormed</f>
        <v>504512.08814118482</v>
      </c>
      <c r="L285" s="253"/>
    </row>
    <row r="286" spans="1:12" ht="28.5" hidden="1" thickBot="1" x14ac:dyDescent="0.45">
      <c r="B286" s="291">
        <v>406</v>
      </c>
      <c r="C286" s="291"/>
      <c r="D286" s="291" t="s">
        <v>458</v>
      </c>
      <c r="E286" s="298">
        <f>(E285+E293)*porcantighorasmed</f>
        <v>670002.25818044937</v>
      </c>
      <c r="F286" s="599"/>
      <c r="G286" s="298">
        <f>(G285+G293)*porcantighorasmed</f>
        <v>651204.134155776</v>
      </c>
      <c r="H286" s="599"/>
      <c r="I286" s="298">
        <f>(I285+I293)*porcantighorasmed</f>
        <v>630014.5057694217</v>
      </c>
      <c r="J286" s="253"/>
      <c r="K286" s="298">
        <f>(K285+K293)*porcantighorasmed</f>
        <v>630014.5057694217</v>
      </c>
      <c r="L286" s="253"/>
    </row>
    <row r="287" spans="1:12" ht="16.5" hidden="1" thickBot="1" x14ac:dyDescent="0.3">
      <c r="B287" s="291">
        <v>432</v>
      </c>
      <c r="C287" s="291"/>
      <c r="D287" s="291" t="s">
        <v>487</v>
      </c>
      <c r="E287" s="298">
        <f>IF(numhorasmed&gt;36,36*4241.88,4241.88*numhorasmed)*porjubhormed*(1+aumentojulio26)</f>
        <v>133491.09825647998</v>
      </c>
      <c r="F287" s="253"/>
      <c r="G287" s="298">
        <f>IF(numhorasmed&gt;36,36*4241.88,4241.88*numhorasmed)*porjubhormed*(1+aumentomayo26)</f>
        <v>129603.00801599998</v>
      </c>
      <c r="H287" s="253"/>
      <c r="I287" s="298">
        <f>IF(numhorasmed&gt;36,36*4241.88,4241.88*numhorasmed)*porjubhormed</f>
        <v>125220.29759999999</v>
      </c>
      <c r="J287" s="253"/>
      <c r="K287" s="298">
        <f>IF(numhorasmed&gt;36,36*4241.88,4241.88*numhorasmed)*porjubhormed</f>
        <v>125220.29759999999</v>
      </c>
      <c r="L287" s="253"/>
    </row>
    <row r="288" spans="1:12" ht="16.5" hidden="1" thickBot="1" x14ac:dyDescent="0.3">
      <c r="B288" s="291">
        <v>434</v>
      </c>
      <c r="C288" s="291"/>
      <c r="D288" s="291" t="s">
        <v>462</v>
      </c>
      <c r="E288" s="298">
        <f>(E285+E286+E287+E289+E290+E292+E293)*0.07*0.95</f>
        <v>102627.41701169568</v>
      </c>
      <c r="F288" s="253"/>
      <c r="G288" s="298">
        <f>(G285+G286+G287+G289+G290+G292+G293)*0.07*0.95</f>
        <v>99725.622826889026</v>
      </c>
      <c r="H288" s="253"/>
      <c r="I288" s="298">
        <f>(I285+I286+I287+I289+I290+I292+I293)*0.07*0.95</f>
        <v>96454.66508545533</v>
      </c>
      <c r="J288" s="253"/>
      <c r="K288" s="298">
        <f>(K285+K286+K287+K289+K290+K292+K293)*0.07*0.95</f>
        <v>96454.66508545533</v>
      </c>
      <c r="L288" s="253"/>
    </row>
    <row r="289" spans="2:12" ht="16.5" hidden="1" thickBot="1" x14ac:dyDescent="0.3">
      <c r="B289" s="299">
        <v>1458</v>
      </c>
      <c r="C289" s="291"/>
      <c r="D289" s="469" t="s">
        <v>488</v>
      </c>
      <c r="E289" s="298">
        <f>IF(numhorasmed&gt;18,61229,3401.61111*numhorasmed)*porjubhormed*adichsmedia*(1+aumentojulio26)</f>
        <v>53524.003868999993</v>
      </c>
      <c r="F289" s="470"/>
      <c r="G289" s="298">
        <f>IF(numhorasmed&gt;18,61229,3401.61111*numhorasmed)*porjubhormed*adichsmedia*(1+aumentomayo26)</f>
        <v>51965.052299999996</v>
      </c>
      <c r="H289" s="470"/>
      <c r="I289" s="298">
        <f>IF(numhorasmed&gt;18,61229,3401.61111*numhorasmed)*porjubhormed*adichsmedia</f>
        <v>50207.78</v>
      </c>
      <c r="J289" s="470"/>
      <c r="K289" s="298">
        <f>IF(numhorasmed&gt;18,61229,3401.61111*numhorasmed)*porjubhormed*adichsmedia</f>
        <v>50207.78</v>
      </c>
      <c r="L289" s="470"/>
    </row>
    <row r="290" spans="2:12" ht="16.5" hidden="1" thickBot="1" x14ac:dyDescent="0.3">
      <c r="B290" s="299">
        <v>437</v>
      </c>
      <c r="C290" s="291"/>
      <c r="D290" s="306" t="s">
        <v>463</v>
      </c>
      <c r="E290" s="298">
        <f>IF(numhorasmed&gt;30,43246,1441.53333*numhorasmed)*porjubhormed*(1+aumentojulio26)</f>
        <v>37803.966606000002</v>
      </c>
      <c r="F290" s="209"/>
      <c r="G290" s="298">
        <f>IF(numhorasmed&gt;30,43246,1441.53333*numhorasmed)*porjubhormed*(1+aumentomayo26)</f>
        <v>36702.8802</v>
      </c>
      <c r="H290" s="209"/>
      <c r="I290" s="298">
        <f>IF(numhorasmed&gt;30,43246,1441.53333*numhorasmed)*porjubhormed</f>
        <v>35461.72</v>
      </c>
      <c r="J290" s="209"/>
      <c r="K290" s="298">
        <f>IF(numhorasmed&gt;30,43246,1441.53333*numhorasmed)*porjubhormed</f>
        <v>35461.72</v>
      </c>
      <c r="L290" s="209"/>
    </row>
    <row r="291" spans="2:12" ht="16.5" hidden="1" thickBot="1" x14ac:dyDescent="0.3">
      <c r="B291" s="291"/>
      <c r="C291" s="291"/>
      <c r="D291" s="291" t="s">
        <v>464</v>
      </c>
      <c r="E291" s="312">
        <f>E237</f>
        <v>0</v>
      </c>
      <c r="F291" s="253"/>
      <c r="G291" s="312">
        <f>G237</f>
        <v>0</v>
      </c>
      <c r="H291" s="253"/>
      <c r="I291" s="312">
        <f>I237</f>
        <v>0</v>
      </c>
      <c r="J291" s="253"/>
      <c r="K291" s="312">
        <f>K237</f>
        <v>0</v>
      </c>
      <c r="L291" s="253"/>
    </row>
    <row r="292" spans="2:12" ht="16.5" hidden="1" thickBot="1" x14ac:dyDescent="0.3">
      <c r="B292" s="471">
        <v>1584</v>
      </c>
      <c r="C292" s="472">
        <f>C238</f>
        <v>15</v>
      </c>
      <c r="D292" s="306" t="s">
        <v>489</v>
      </c>
      <c r="E292" s="298">
        <f>IF($C292="",IF(numhorasmed&lt;15,6872.3333*numhorasmed,103085),IF($C292&lt;15,6872.3333*$C292,103085))*porjubhormed*(1+aumentojulio26)</f>
        <v>90112.88668499999</v>
      </c>
      <c r="F292" s="209"/>
      <c r="G292" s="298">
        <f>IF($C292="",IF(numhorasmed&lt;15,6872.3333*numhorasmed,103085),IF($C292&lt;15,6872.3333*$C292,103085))*porjubhormed*(1+aumentomayo26)</f>
        <v>87488.239499999996</v>
      </c>
      <c r="H292" s="209"/>
      <c r="I292" s="298">
        <f>IF($C292="",IF(numhorasmed&lt;15,6872.3333*numhorasmed,103085),IF($C292&lt;15,6872.3333*$C292,103085))*porjubhormed</f>
        <v>84529.7</v>
      </c>
      <c r="J292" s="209"/>
      <c r="K292" s="298">
        <f>IF($C292="",IF(numhorasmed&lt;15,6872.3333*numhorasmed,103085),IF($C292&lt;15,6872.3333*$C292,103085))*porjubhormed</f>
        <v>84529.7</v>
      </c>
      <c r="L292" s="209"/>
    </row>
    <row r="293" spans="2:12" ht="18.75" hidden="1" thickBot="1" x14ac:dyDescent="0.3">
      <c r="B293" s="205">
        <v>1622</v>
      </c>
      <c r="C293" s="308">
        <f>C239</f>
        <v>1</v>
      </c>
      <c r="D293" s="309" t="s">
        <v>444</v>
      </c>
      <c r="E293" s="310">
        <f>IF(AND(porcantighorasmed&gt;=50%,$C293=1),IF(numhorasmed&gt;15,25000,1666.6666*numhorasmed),0)*porjubcar*frac</f>
        <v>20500</v>
      </c>
      <c r="F293" s="311"/>
      <c r="G293" s="310">
        <f>IF(AND(porcantighorasmed&gt;=50%,$C293=1),IF(numhorasmed&gt;15,25000,1666.6666*numhorasmed),0)*porjubcar*frac</f>
        <v>20500</v>
      </c>
      <c r="H293" s="311"/>
      <c r="I293" s="310">
        <f>IF(AND(porcantighorasmed&gt;=50%,$C293=1),IF(numhorasmed&gt;15,25000,1666.6666*numhorasmed),0)*porjubcar*frac</f>
        <v>20500</v>
      </c>
      <c r="J293" s="311"/>
      <c r="K293" s="310">
        <f>IF(AND(porcantighorasmed&gt;=50%,$C293=1),IF(numhorasmed&gt;15,25000,1666.6666*numhorasmed),0)*porjubcar*frac</f>
        <v>20500</v>
      </c>
      <c r="L293" s="311"/>
    </row>
    <row r="294" spans="2:12" ht="21" hidden="1" thickBot="1" x14ac:dyDescent="0.35">
      <c r="B294" s="569">
        <v>1650</v>
      </c>
      <c r="C294" s="568">
        <f>C240</f>
        <v>1</v>
      </c>
      <c r="D294" s="570" t="s">
        <v>501</v>
      </c>
      <c r="E294" s="571">
        <f>IF($C294=1,IF(numhorasmed&lt;15,2000*numhorasmed,30000),0)</f>
        <v>30000</v>
      </c>
      <c r="F294" s="311"/>
      <c r="G294" s="571">
        <f>IF($C294=1,IF(numhorasmed&lt;15,2000*numhorasmed,30000),0)</f>
        <v>30000</v>
      </c>
      <c r="H294" s="311"/>
      <c r="I294" s="571">
        <f>IF($C294=1,IF(numhorasmed&lt;15,2000*numhorasmed,30000),0)</f>
        <v>30000</v>
      </c>
      <c r="J294" s="311"/>
      <c r="K294" s="571">
        <v>0</v>
      </c>
      <c r="L294" s="311"/>
    </row>
    <row r="295" spans="2:12" ht="18.75" hidden="1" thickBot="1" x14ac:dyDescent="0.3">
      <c r="B295" s="291"/>
      <c r="C295" s="350"/>
      <c r="D295" s="313" t="s">
        <v>465</v>
      </c>
      <c r="E295" s="357">
        <f>SUM(E285:E294)</f>
        <v>1675896.8457589992</v>
      </c>
      <c r="F295" s="315"/>
      <c r="G295" s="357">
        <f>SUM(G285:G294)</f>
        <v>1629359.048795145</v>
      </c>
      <c r="H295" s="315"/>
      <c r="I295" s="357">
        <f>SUM(I285:I294)</f>
        <v>1576900.7565960619</v>
      </c>
      <c r="J295" s="315"/>
      <c r="K295" s="357">
        <f>SUM(K285:K294)</f>
        <v>1546900.7565960619</v>
      </c>
      <c r="L295" s="315"/>
    </row>
    <row r="296" spans="2:12" ht="16.5" hidden="1" thickBot="1" x14ac:dyDescent="0.3">
      <c r="B296" s="291">
        <v>703</v>
      </c>
      <c r="C296" s="316">
        <v>2.5000000000000001E-3</v>
      </c>
      <c r="D296" s="317" t="s">
        <v>490</v>
      </c>
      <c r="E296" s="318">
        <f>(E295-E291-E294)*$C296</f>
        <v>4114.742114397498</v>
      </c>
      <c r="F296" s="319"/>
      <c r="G296" s="318">
        <f>(G295-G291-G294)*$C296</f>
        <v>3998.3976219878627</v>
      </c>
      <c r="H296" s="319"/>
      <c r="I296" s="318">
        <f>(I295-I291-I294)*$C296</f>
        <v>3867.2518914901548</v>
      </c>
      <c r="J296" s="319"/>
      <c r="K296" s="318">
        <f>(K295-K291-K294)*$C296</f>
        <v>3867.2518914901548</v>
      </c>
      <c r="L296" s="319"/>
    </row>
    <row r="297" spans="2:12" ht="16.5" hidden="1" thickBot="1" x14ac:dyDescent="0.3">
      <c r="B297" s="291">
        <v>707</v>
      </c>
      <c r="C297" s="320">
        <v>0.03</v>
      </c>
      <c r="D297" s="291" t="s">
        <v>467</v>
      </c>
      <c r="E297" s="318">
        <f>(E295-E291-E294)*$C297</f>
        <v>49376.905372769972</v>
      </c>
      <c r="F297" s="253"/>
      <c r="G297" s="318">
        <f>(G295-G291-G294)*$C297</f>
        <v>47980.771463854348</v>
      </c>
      <c r="H297" s="253"/>
      <c r="I297" s="318">
        <f>(I295-I291-I294)*$C297</f>
        <v>46407.022697881854</v>
      </c>
      <c r="J297" s="253"/>
      <c r="K297" s="318">
        <f>(K295-K291-K294)*$C297</f>
        <v>46407.022697881854</v>
      </c>
      <c r="L297" s="253"/>
    </row>
    <row r="298" spans="2:12" ht="16.5" hidden="1" thickBot="1" x14ac:dyDescent="0.3">
      <c r="B298" s="291">
        <v>709</v>
      </c>
      <c r="C298" s="473">
        <f>C244</f>
        <v>1.5E-3</v>
      </c>
      <c r="D298" s="291" t="s">
        <v>468</v>
      </c>
      <c r="E298" s="318">
        <f>(E295-E291-E294)*$C298</f>
        <v>2468.845268638499</v>
      </c>
      <c r="F298" s="253"/>
      <c r="G298" s="318">
        <f>(G295-G291-G294)*$C298</f>
        <v>2399.0385731927176</v>
      </c>
      <c r="H298" s="253"/>
      <c r="I298" s="318">
        <f>(I295-I291-I294)*$C298</f>
        <v>2320.3511348940929</v>
      </c>
      <c r="J298" s="253"/>
      <c r="K298" s="318">
        <f>(K295-K291-K294)*$C298</f>
        <v>2320.3511348940929</v>
      </c>
      <c r="L298" s="253"/>
    </row>
    <row r="299" spans="2:12" ht="16.5" hidden="1" thickBot="1" x14ac:dyDescent="0.3">
      <c r="B299" s="291">
        <v>713</v>
      </c>
      <c r="C299" s="322">
        <v>7.0000000000000001E-3</v>
      </c>
      <c r="D299" s="291" t="s">
        <v>469</v>
      </c>
      <c r="E299" s="318">
        <f>(E295-E291-E294)*$C299</f>
        <v>11521.277920312994</v>
      </c>
      <c r="F299" s="253"/>
      <c r="G299" s="318">
        <f>(G295-G291-G294)*$C299</f>
        <v>11195.513341566015</v>
      </c>
      <c r="H299" s="253"/>
      <c r="I299" s="318">
        <f>(I295-I291-I294)*$C299</f>
        <v>10828.305296172433</v>
      </c>
      <c r="J299" s="253"/>
      <c r="K299" s="318">
        <f>(K295-K291-K294)*$C299</f>
        <v>10828.305296172433</v>
      </c>
      <c r="L299" s="253"/>
    </row>
    <row r="300" spans="2:12" ht="16.5" hidden="1" thickBot="1" x14ac:dyDescent="0.3">
      <c r="B300" s="291">
        <v>787</v>
      </c>
      <c r="C300" s="320">
        <f>C246</f>
        <v>0</v>
      </c>
      <c r="D300" s="291" t="s">
        <v>470</v>
      </c>
      <c r="E300" s="318">
        <f>(E295-E291-E294)*$C300</f>
        <v>0</v>
      </c>
      <c r="F300" s="253"/>
      <c r="G300" s="318">
        <f>(G295-G291-G294)*$C300</f>
        <v>0</v>
      </c>
      <c r="H300" s="253"/>
      <c r="I300" s="318">
        <f>(I295-I291-I294)*$C300</f>
        <v>0</v>
      </c>
      <c r="J300" s="253"/>
      <c r="K300" s="318">
        <f>(K295-K291-K294)*$C300</f>
        <v>0</v>
      </c>
      <c r="L300" s="253"/>
    </row>
    <row r="301" spans="2:12" ht="16.5" hidden="1" thickBot="1" x14ac:dyDescent="0.3">
      <c r="B301" s="291"/>
      <c r="C301" s="291"/>
      <c r="D301" s="291" t="s">
        <v>471</v>
      </c>
      <c r="E301" s="323">
        <f>E247</f>
        <v>0</v>
      </c>
      <c r="F301" s="253"/>
      <c r="G301" s="323">
        <f>G247</f>
        <v>0</v>
      </c>
      <c r="H301" s="253"/>
      <c r="I301" s="323">
        <f>I247</f>
        <v>0</v>
      </c>
      <c r="J301" s="253"/>
      <c r="K301" s="323">
        <f>K247</f>
        <v>0</v>
      </c>
      <c r="L301" s="253"/>
    </row>
    <row r="302" spans="2:12" ht="16.5" hidden="1" thickBot="1" x14ac:dyDescent="0.3">
      <c r="B302" s="291"/>
      <c r="C302" s="324"/>
      <c r="D302" s="324" t="s">
        <v>472</v>
      </c>
      <c r="E302" s="474">
        <f>SUM(E296:E301)</f>
        <v>67481.770676118962</v>
      </c>
      <c r="F302" s="326"/>
      <c r="G302" s="474">
        <f>SUM(G296:G301)</f>
        <v>65573.721000600941</v>
      </c>
      <c r="H302" s="326"/>
      <c r="I302" s="474">
        <f>SUM(I296:I301)</f>
        <v>63422.931020438533</v>
      </c>
      <c r="J302" s="326"/>
      <c r="K302" s="474">
        <f>SUM(K296:K301)</f>
        <v>63422.931020438533</v>
      </c>
      <c r="L302" s="326"/>
    </row>
    <row r="303" spans="2:12" ht="16.5" hidden="1" thickBot="1" x14ac:dyDescent="0.3">
      <c r="B303" s="324"/>
      <c r="C303" s="299"/>
      <c r="D303" s="291"/>
      <c r="E303" s="327"/>
      <c r="F303" s="253"/>
      <c r="G303" s="327"/>
      <c r="H303" s="253"/>
      <c r="I303" s="327"/>
      <c r="J303" s="253"/>
      <c r="K303" s="327"/>
      <c r="L303" s="253"/>
    </row>
    <row r="304" spans="2:12" ht="21" hidden="1" thickBot="1" x14ac:dyDescent="0.35">
      <c r="B304" s="299"/>
      <c r="C304" s="299"/>
      <c r="D304" s="328" t="s">
        <v>473</v>
      </c>
      <c r="E304" s="475">
        <f>E295-E302</f>
        <v>1608415.0750828802</v>
      </c>
      <c r="F304" s="476"/>
      <c r="G304" s="475">
        <f>G295-G302</f>
        <v>1563785.3277945442</v>
      </c>
      <c r="H304" s="476"/>
      <c r="I304" s="475">
        <f>I295-I302</f>
        <v>1513477.8255756234</v>
      </c>
      <c r="J304" s="476"/>
      <c r="K304" s="475">
        <f>K295-K302</f>
        <v>1483477.8255756234</v>
      </c>
      <c r="L304" s="476"/>
    </row>
    <row r="305" spans="2:12" ht="18.75" hidden="1" thickBot="1" x14ac:dyDescent="0.3">
      <c r="B305" s="299"/>
      <c r="C305" s="299"/>
      <c r="D305" s="433" t="s">
        <v>445</v>
      </c>
      <c r="E305" s="434">
        <f>(E295-E291-E294)*0.03</f>
        <v>49376.905372769972</v>
      </c>
      <c r="F305" s="433"/>
      <c r="G305" s="434">
        <f>(G295-G291-G294)*0.03</f>
        <v>47980.771463854348</v>
      </c>
      <c r="H305" s="433"/>
      <c r="I305" s="434">
        <f>(I295-I291-I294)*0.03</f>
        <v>46407.022697881854</v>
      </c>
      <c r="J305" s="433"/>
      <c r="K305" s="434">
        <f>(K295-K291-K294)*0.03</f>
        <v>46407.022697881854</v>
      </c>
      <c r="L305" s="433"/>
    </row>
    <row r="306" spans="2:12" ht="24" hidden="1" thickBot="1" x14ac:dyDescent="0.4">
      <c r="B306" s="299"/>
      <c r="C306" s="299"/>
      <c r="D306" s="435" t="s">
        <v>446</v>
      </c>
      <c r="E306" s="432">
        <f>E304-E305</f>
        <v>1559038.1697101102</v>
      </c>
      <c r="F306" s="433"/>
      <c r="G306" s="432">
        <f>G304-G305</f>
        <v>1515804.5563306899</v>
      </c>
      <c r="H306" s="433"/>
      <c r="I306" s="432">
        <f>I304-I305</f>
        <v>1467070.8028777416</v>
      </c>
      <c r="J306" s="433"/>
      <c r="K306" s="432">
        <f>K304-K305</f>
        <v>1437070.8028777416</v>
      </c>
      <c r="L306" s="433"/>
    </row>
    <row r="307" spans="2:12" ht="16.5" hidden="1" thickBot="1" x14ac:dyDescent="0.3">
      <c r="B307" s="299"/>
      <c r="C307" s="291"/>
      <c r="D307" s="328"/>
      <c r="E307" s="477"/>
      <c r="F307" s="360"/>
      <c r="G307" s="477"/>
      <c r="H307" s="360"/>
      <c r="I307" s="477"/>
      <c r="J307" s="360"/>
      <c r="K307" s="477"/>
      <c r="L307" s="360"/>
    </row>
    <row r="308" spans="2:12" ht="18.75" hidden="1" thickBot="1" x14ac:dyDescent="0.3">
      <c r="B308" s="291"/>
      <c r="C308" s="336"/>
      <c r="D308" s="337" t="s">
        <v>474</v>
      </c>
      <c r="E308" s="338">
        <f>E304-G304</f>
        <v>44629.747288336046</v>
      </c>
      <c r="F308" s="339"/>
      <c r="G308" s="338">
        <f>G304-I304</f>
        <v>50307.502218920738</v>
      </c>
      <c r="H308" s="339"/>
      <c r="I308" s="338">
        <f>I304-K304</f>
        <v>30000</v>
      </c>
      <c r="J308" s="339"/>
      <c r="K308" s="338"/>
      <c r="L308" s="339"/>
    </row>
    <row r="309" spans="2:12" ht="18.75" hidden="1" thickBot="1" x14ac:dyDescent="0.3">
      <c r="B309" s="291"/>
      <c r="C309" s="336"/>
      <c r="D309" s="337" t="s">
        <v>475</v>
      </c>
      <c r="E309" s="341">
        <f>E308/G304</f>
        <v>2.8539561342015397E-2</v>
      </c>
      <c r="F309" s="339"/>
      <c r="G309" s="341">
        <f>G308/I304</f>
        <v>3.3239669170433472E-2</v>
      </c>
      <c r="H309" s="339"/>
      <c r="I309" s="341">
        <f>I308/K304</f>
        <v>2.0222749193004833E-2</v>
      </c>
      <c r="J309" s="339"/>
      <c r="K309" s="478"/>
      <c r="L309" s="339"/>
    </row>
    <row r="310" spans="2:12" ht="18.75" hidden="1" thickBot="1" x14ac:dyDescent="0.3">
      <c r="B310" s="291"/>
      <c r="C310" s="291"/>
      <c r="D310" s="291"/>
      <c r="E310" s="291"/>
      <c r="F310" s="480"/>
      <c r="G310" s="291"/>
      <c r="H310" s="480"/>
      <c r="I310" s="291"/>
      <c r="J310" s="480"/>
      <c r="K310" s="479"/>
      <c r="L310" s="480"/>
    </row>
    <row r="311" spans="2:12" ht="18.75" hidden="1" thickBot="1" x14ac:dyDescent="0.3">
      <c r="B311" s="291"/>
      <c r="C311" s="291"/>
      <c r="D311" s="251" t="s">
        <v>447</v>
      </c>
      <c r="E311" s="342">
        <f>E306-G306</f>
        <v>43233.613379420247</v>
      </c>
      <c r="F311" s="480"/>
      <c r="G311" s="342">
        <f>G306-I306</f>
        <v>48733.753452948295</v>
      </c>
      <c r="H311" s="480"/>
      <c r="I311" s="342">
        <f>I306-K306</f>
        <v>30000</v>
      </c>
      <c r="J311" s="480"/>
      <c r="K311" s="342"/>
      <c r="L311" s="480"/>
    </row>
    <row r="312" spans="2:12" ht="18.75" hidden="1" thickBot="1" x14ac:dyDescent="0.3">
      <c r="B312" s="291"/>
      <c r="C312" s="291"/>
      <c r="D312" s="251" t="s">
        <v>448</v>
      </c>
      <c r="E312" s="343">
        <f>E311/G306</f>
        <v>2.8521891690361397E-2</v>
      </c>
      <c r="F312" s="480"/>
      <c r="G312" s="343">
        <f>G311/I306</f>
        <v>3.3218405926526723E-2</v>
      </c>
      <c r="H312" s="480"/>
      <c r="I312" s="343">
        <f>I311/K306</f>
        <v>2.0875798144339753E-2</v>
      </c>
      <c r="J312" s="480"/>
      <c r="K312" s="343"/>
      <c r="L312" s="480"/>
    </row>
    <row r="313" spans="2:12" ht="16.5" hidden="1" thickBot="1" x14ac:dyDescent="0.3">
      <c r="B313" s="291"/>
      <c r="C313" s="291"/>
      <c r="D313" s="291"/>
      <c r="E313" s="291"/>
      <c r="F313" s="253"/>
      <c r="G313" s="291"/>
      <c r="H313" s="253"/>
      <c r="I313" s="291"/>
      <c r="J313" s="253"/>
      <c r="K313" s="291"/>
      <c r="L313" s="253"/>
    </row>
    <row r="314" spans="2:12" ht="18.75" hidden="1" thickBot="1" x14ac:dyDescent="0.3">
      <c r="B314" s="291"/>
      <c r="C314" s="291"/>
      <c r="D314" s="262" t="s">
        <v>476</v>
      </c>
      <c r="E314" s="344">
        <f>E304-$K304</f>
        <v>124937.24950725678</v>
      </c>
      <c r="F314" s="349"/>
      <c r="G314" s="344">
        <f>G304-$K304</f>
        <v>80307.502218920738</v>
      </c>
      <c r="H314" s="349"/>
      <c r="I314" s="344">
        <f>I304-$K304</f>
        <v>30000</v>
      </c>
      <c r="J314" s="349"/>
      <c r="K314" s="344"/>
      <c r="L314" s="349"/>
    </row>
    <row r="315" spans="2:12" ht="18.75" hidden="1" thickBot="1" x14ac:dyDescent="0.3">
      <c r="B315" s="291"/>
      <c r="C315" s="291"/>
      <c r="D315" s="262" t="s">
        <v>477</v>
      </c>
      <c r="E315" s="346">
        <f>E314/$K304</f>
        <v>8.4219155388304018E-2</v>
      </c>
      <c r="F315" s="263"/>
      <c r="G315" s="346">
        <f>G314/$K304</f>
        <v>5.4134615856330434E-2</v>
      </c>
      <c r="H315" s="263"/>
      <c r="I315" s="346">
        <f>I314/$K304</f>
        <v>2.0222749193004833E-2</v>
      </c>
      <c r="J315" s="263"/>
      <c r="K315" s="346"/>
      <c r="L315" s="263"/>
    </row>
    <row r="316" spans="2:12" ht="16.5" hidden="1" thickBot="1" x14ac:dyDescent="0.3">
      <c r="B316" s="291"/>
      <c r="C316" s="291"/>
      <c r="D316" s="347"/>
      <c r="E316" s="348"/>
      <c r="F316" s="263"/>
      <c r="G316" s="348"/>
      <c r="H316" s="263"/>
      <c r="I316" s="348"/>
      <c r="J316" s="263"/>
      <c r="K316" s="348"/>
      <c r="L316" s="263"/>
    </row>
    <row r="317" spans="2:12" ht="18.75" hidden="1" thickBot="1" x14ac:dyDescent="0.3">
      <c r="B317" s="291"/>
      <c r="C317" s="291"/>
      <c r="D317" s="262" t="s">
        <v>449</v>
      </c>
      <c r="E317" s="344">
        <f>E306-$K306</f>
        <v>121967.36683236854</v>
      </c>
      <c r="F317" s="263"/>
      <c r="G317" s="344">
        <f>G306-$K306</f>
        <v>78733.753452948295</v>
      </c>
      <c r="H317" s="263"/>
      <c r="I317" s="344">
        <f>I306-$K306</f>
        <v>30000</v>
      </c>
      <c r="J317" s="263"/>
      <c r="K317" s="344"/>
      <c r="L317" s="263"/>
    </row>
    <row r="318" spans="2:12" ht="18.75" hidden="1" thickBot="1" x14ac:dyDescent="0.3">
      <c r="B318" s="291"/>
      <c r="C318" s="291"/>
      <c r="D318" s="262" t="s">
        <v>450</v>
      </c>
      <c r="E318" s="346">
        <f>E317/$K306</f>
        <v>8.4872204339638838E-2</v>
      </c>
      <c r="F318" s="263"/>
      <c r="G318" s="346">
        <f>G317/$K306</f>
        <v>5.4787664807665393E-2</v>
      </c>
      <c r="H318" s="263"/>
      <c r="I318" s="346">
        <f>I317/$K306</f>
        <v>2.0875798144339753E-2</v>
      </c>
      <c r="J318" s="263"/>
      <c r="K318" s="346"/>
      <c r="L318" s="263"/>
    </row>
    <row r="319" spans="2:12" ht="16.5" hidden="1" thickBot="1" x14ac:dyDescent="0.3">
      <c r="B319" s="291"/>
      <c r="C319" s="291"/>
      <c r="D319" s="350"/>
      <c r="E319" s="350"/>
      <c r="F319" s="351"/>
      <c r="G319" s="350"/>
      <c r="H319" s="351"/>
      <c r="I319" s="350"/>
      <c r="J319" s="351"/>
      <c r="K319" s="350"/>
      <c r="L319" s="351"/>
    </row>
    <row r="320" spans="2:12" ht="21" hidden="1" thickBot="1" x14ac:dyDescent="0.35">
      <c r="B320" s="291"/>
      <c r="C320" s="291"/>
      <c r="D320" s="352" t="s">
        <v>478</v>
      </c>
      <c r="E320" s="482"/>
      <c r="F320" s="354"/>
      <c r="G320" s="482"/>
      <c r="H320" s="354"/>
      <c r="I320" s="482"/>
      <c r="J320" s="354"/>
      <c r="K320" s="482"/>
      <c r="L320" s="354"/>
    </row>
    <row r="321" spans="1:19" ht="16.5" hidden="1" thickBot="1" x14ac:dyDescent="0.3">
      <c r="B321" s="291"/>
      <c r="C321" s="291"/>
      <c r="D321" s="355"/>
      <c r="E321" s="291"/>
      <c r="F321" s="356"/>
      <c r="G321" s="291"/>
      <c r="H321" s="356"/>
      <c r="I321" s="291"/>
      <c r="J321" s="356"/>
      <c r="K321" s="291"/>
      <c r="L321" s="356"/>
    </row>
    <row r="322" spans="1:19" ht="16.5" hidden="1" thickBot="1" x14ac:dyDescent="0.3">
      <c r="B322" s="291"/>
      <c r="C322" s="291"/>
      <c r="D322" s="357" t="s">
        <v>479</v>
      </c>
      <c r="E322" s="357">
        <f>E295*0.5</f>
        <v>837948.42287949962</v>
      </c>
      <c r="F322" s="358"/>
      <c r="G322" s="357">
        <f>G295*0.5</f>
        <v>814679.5243975725</v>
      </c>
      <c r="H322" s="358"/>
      <c r="I322" s="357">
        <f>I295*0.5</f>
        <v>788450.37829803093</v>
      </c>
      <c r="J322" s="358"/>
      <c r="K322" s="357">
        <f>K295*0.5</f>
        <v>773450.37829803093</v>
      </c>
      <c r="L322" s="358"/>
    </row>
    <row r="323" spans="1:19" ht="16.5" hidden="1" thickBot="1" x14ac:dyDescent="0.3">
      <c r="B323" s="291"/>
      <c r="C323" s="291"/>
      <c r="D323" s="355"/>
      <c r="E323" s="291"/>
      <c r="F323" s="356"/>
      <c r="G323" s="291"/>
      <c r="H323" s="356"/>
      <c r="I323" s="291"/>
      <c r="J323" s="356"/>
      <c r="K323" s="291"/>
      <c r="L323" s="356"/>
    </row>
    <row r="324" spans="1:19" ht="16.5" hidden="1" thickBot="1" x14ac:dyDescent="0.3">
      <c r="B324" s="291"/>
      <c r="C324" s="291"/>
      <c r="D324" s="357" t="s">
        <v>472</v>
      </c>
      <c r="E324" s="291"/>
      <c r="F324" s="358"/>
      <c r="G324" s="291"/>
      <c r="H324" s="358"/>
      <c r="I324" s="291"/>
      <c r="J324" s="358"/>
      <c r="K324" s="291"/>
      <c r="L324" s="358"/>
    </row>
    <row r="325" spans="1:19" ht="16.5" hidden="1" thickBot="1" x14ac:dyDescent="0.3">
      <c r="B325" s="291">
        <v>703</v>
      </c>
      <c r="C325" s="316">
        <v>2.5000000000000001E-3</v>
      </c>
      <c r="D325" s="317" t="s">
        <v>466</v>
      </c>
      <c r="E325" s="318">
        <f>E322*0.0025</f>
        <v>2094.871057198749</v>
      </c>
      <c r="F325" s="319"/>
      <c r="G325" s="318">
        <f>G322*0.0025</f>
        <v>2036.6988109939314</v>
      </c>
      <c r="H325" s="319"/>
      <c r="I325" s="318">
        <f>I322*0.0025</f>
        <v>1971.1259457450774</v>
      </c>
      <c r="J325" s="319"/>
      <c r="K325" s="318">
        <f>K322*0.0025</f>
        <v>1933.6259457450774</v>
      </c>
      <c r="L325" s="319"/>
    </row>
    <row r="326" spans="1:19" ht="16.5" hidden="1" thickBot="1" x14ac:dyDescent="0.3">
      <c r="B326" s="291">
        <v>707</v>
      </c>
      <c r="C326" s="320">
        <v>0.03</v>
      </c>
      <c r="D326" s="291" t="s">
        <v>467</v>
      </c>
      <c r="E326" s="318">
        <f>E322*0.03</f>
        <v>25138.452686384986</v>
      </c>
      <c r="F326" s="253"/>
      <c r="G326" s="318">
        <f>G322*0.03</f>
        <v>24440.385731927174</v>
      </c>
      <c r="H326" s="253"/>
      <c r="I326" s="318">
        <f>I322*0.03</f>
        <v>23653.511348940927</v>
      </c>
      <c r="J326" s="253"/>
      <c r="K326" s="318">
        <f>K322*0.03</f>
        <v>23203.511348940927</v>
      </c>
      <c r="L326" s="253"/>
    </row>
    <row r="327" spans="1:19" ht="16.5" hidden="1" thickBot="1" x14ac:dyDescent="0.3">
      <c r="B327" s="291">
        <v>709</v>
      </c>
      <c r="C327" s="473">
        <f>C273</f>
        <v>1.5E-3</v>
      </c>
      <c r="D327" s="291" t="s">
        <v>468</v>
      </c>
      <c r="E327" s="318">
        <f>E322*0.0015</f>
        <v>1256.9226343192495</v>
      </c>
      <c r="F327" s="253"/>
      <c r="G327" s="318">
        <f>G322*0.0015</f>
        <v>1222.0192865963588</v>
      </c>
      <c r="H327" s="253"/>
      <c r="I327" s="318">
        <f>I322*0.0015</f>
        <v>1182.6755674470464</v>
      </c>
      <c r="J327" s="253"/>
      <c r="K327" s="318">
        <f>K322*0.0015</f>
        <v>1160.1755674470464</v>
      </c>
      <c r="L327" s="253"/>
    </row>
    <row r="328" spans="1:19" ht="16.5" hidden="1" thickBot="1" x14ac:dyDescent="0.3">
      <c r="B328" s="291">
        <v>713</v>
      </c>
      <c r="C328" s="322">
        <v>7.0000000000000001E-3</v>
      </c>
      <c r="D328" s="291" t="s">
        <v>469</v>
      </c>
      <c r="E328" s="318">
        <f>E322*0.007</f>
        <v>5865.6389601564979</v>
      </c>
      <c r="F328" s="253"/>
      <c r="G328" s="318">
        <f>G322*0.007</f>
        <v>5702.7566707830074</v>
      </c>
      <c r="H328" s="253"/>
      <c r="I328" s="318">
        <f>I322*0.007</f>
        <v>5519.1526480862167</v>
      </c>
      <c r="J328" s="253"/>
      <c r="K328" s="318">
        <f>K322*0.007</f>
        <v>5414.1526480862167</v>
      </c>
      <c r="L328" s="253"/>
    </row>
    <row r="329" spans="1:19" ht="16.5" hidden="1" thickBot="1" x14ac:dyDescent="0.3">
      <c r="B329" s="291">
        <v>787</v>
      </c>
      <c r="C329" s="320">
        <f>C246</f>
        <v>0</v>
      </c>
      <c r="D329" s="291" t="s">
        <v>470</v>
      </c>
      <c r="E329" s="318">
        <f>E322*0.01</f>
        <v>8379.4842287949959</v>
      </c>
      <c r="F329" s="253"/>
      <c r="G329" s="318">
        <f>G322*0.01</f>
        <v>8146.7952439757255</v>
      </c>
      <c r="H329" s="253"/>
      <c r="I329" s="318">
        <f>I322*0.01</f>
        <v>7884.5037829803096</v>
      </c>
      <c r="J329" s="253"/>
      <c r="K329" s="318">
        <f>K322*0.01</f>
        <v>7734.5037829803096</v>
      </c>
      <c r="L329" s="253"/>
    </row>
    <row r="330" spans="1:19" ht="16.5" hidden="1" thickBot="1" x14ac:dyDescent="0.3">
      <c r="B330" s="291"/>
      <c r="C330" s="350"/>
      <c r="D330" s="324" t="s">
        <v>480</v>
      </c>
      <c r="E330" s="325">
        <f>SUM(E325:E329)</f>
        <v>42735.369566854475</v>
      </c>
      <c r="F330" s="326"/>
      <c r="G330" s="325">
        <f>SUM(G325:G329)</f>
        <v>41548.655744276199</v>
      </c>
      <c r="H330" s="326"/>
      <c r="I330" s="325">
        <f>SUM(I325:I329)</f>
        <v>40210.969293199574</v>
      </c>
      <c r="J330" s="326"/>
      <c r="K330" s="325">
        <f>SUM(K325:K329)</f>
        <v>39445.969293199574</v>
      </c>
      <c r="L330" s="326"/>
    </row>
    <row r="331" spans="1:19" ht="16.5" hidden="1" thickBot="1" x14ac:dyDescent="0.3">
      <c r="B331" s="291"/>
      <c r="C331" s="291"/>
      <c r="D331" s="291"/>
      <c r="E331" s="327"/>
      <c r="F331" s="253"/>
      <c r="G331" s="327"/>
      <c r="H331" s="253"/>
      <c r="I331" s="327"/>
      <c r="J331" s="253"/>
      <c r="K331" s="327"/>
      <c r="L331" s="253"/>
    </row>
    <row r="332" spans="1:19" ht="21" hidden="1" thickBot="1" x14ac:dyDescent="0.35">
      <c r="B332" s="291"/>
      <c r="C332" s="291"/>
      <c r="D332" s="328" t="s">
        <v>473</v>
      </c>
      <c r="E332" s="359">
        <f>E322-E330</f>
        <v>795213.05331264518</v>
      </c>
      <c r="F332" s="360"/>
      <c r="G332" s="359">
        <f>G322-G330</f>
        <v>773130.86865329626</v>
      </c>
      <c r="H332" s="360"/>
      <c r="I332" s="359">
        <f>I322-I330</f>
        <v>748239.40900483134</v>
      </c>
      <c r="J332" s="360"/>
      <c r="K332" s="359">
        <f>K322-K330</f>
        <v>734004.40900483134</v>
      </c>
      <c r="L332" s="360"/>
    </row>
    <row r="333" spans="1:19" ht="15.75" hidden="1" x14ac:dyDescent="0.25">
      <c r="B333" s="132"/>
      <c r="C333" s="132"/>
      <c r="D333" s="11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</row>
    <row r="334" spans="1:19" ht="15.75" hidden="1" x14ac:dyDescent="0.25">
      <c r="B334" s="132"/>
      <c r="C334" s="132"/>
      <c r="D334" s="398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</row>
    <row r="335" spans="1:19" ht="15.75" x14ac:dyDescent="0.25">
      <c r="A335" s="483"/>
      <c r="B335" s="484"/>
      <c r="C335" s="484"/>
      <c r="D335" s="485"/>
      <c r="E335" s="484"/>
      <c r="F335" s="484"/>
      <c r="G335" s="484"/>
      <c r="H335" s="484"/>
      <c r="I335" s="484"/>
      <c r="J335" s="484"/>
      <c r="K335" s="484"/>
      <c r="L335" s="484"/>
      <c r="M335" s="484"/>
      <c r="N335" s="484"/>
      <c r="O335" s="484"/>
      <c r="P335" s="484"/>
      <c r="Q335" s="484"/>
      <c r="R335" s="484"/>
    </row>
    <row r="336" spans="1:19" ht="20.25" x14ac:dyDescent="0.3">
      <c r="B336" s="122" t="s">
        <v>491</v>
      </c>
      <c r="C336" s="365"/>
      <c r="D336" s="362"/>
      <c r="E336" s="365"/>
      <c r="F336" s="365"/>
      <c r="G336" s="365"/>
      <c r="H336" s="365"/>
      <c r="I336" s="365"/>
      <c r="J336" s="365"/>
      <c r="K336" s="365"/>
      <c r="L336" s="365"/>
      <c r="M336" s="486">
        <v>0</v>
      </c>
      <c r="N336" s="487" t="s">
        <v>482</v>
      </c>
      <c r="O336" s="153" t="str">
        <f>numhorasmed&amp;" horas"</f>
        <v>36 horas</v>
      </c>
      <c r="P336" s="161">
        <f>porcantighorasmed</f>
        <v>1.2</v>
      </c>
    </row>
    <row r="337" spans="2:21" ht="15.75" x14ac:dyDescent="0.25">
      <c r="B337" s="169"/>
      <c r="C337" s="365"/>
      <c r="D337" s="362"/>
      <c r="E337" s="365"/>
      <c r="F337" s="365"/>
      <c r="G337" s="365"/>
      <c r="H337" s="365"/>
      <c r="I337" s="365"/>
      <c r="J337" s="365"/>
      <c r="K337" s="365"/>
      <c r="L337" s="365"/>
      <c r="M337" s="159">
        <v>45992</v>
      </c>
      <c r="N337" s="160">
        <f>K347</f>
        <v>1729722.3007559543</v>
      </c>
      <c r="O337" s="162"/>
      <c r="P337" s="163"/>
    </row>
    <row r="338" spans="2:21" ht="18" x14ac:dyDescent="0.25">
      <c r="B338" s="169"/>
      <c r="C338" s="365"/>
      <c r="D338" s="362"/>
      <c r="E338" s="365"/>
      <c r="F338" s="365"/>
      <c r="G338" s="365"/>
      <c r="H338" s="365"/>
      <c r="I338" s="365"/>
      <c r="J338" s="365"/>
      <c r="K338" s="365"/>
      <c r="L338" s="365"/>
      <c r="M338" s="159">
        <v>46054</v>
      </c>
      <c r="N338" s="160">
        <f>I347</f>
        <v>1759722.3007559543</v>
      </c>
      <c r="O338" s="162">
        <f t="shared" ref="O338:O339" si="156">N338-$N$337</f>
        <v>30000</v>
      </c>
      <c r="P338" s="163">
        <f t="shared" ref="P338:P339" si="157">O338/N$337</f>
        <v>1.7343824489566249E-2</v>
      </c>
      <c r="Q338" s="575" t="s">
        <v>502</v>
      </c>
      <c r="R338" s="574"/>
      <c r="S338" s="574"/>
      <c r="T338" s="574"/>
    </row>
    <row r="339" spans="2:21" ht="16.5" thickBot="1" x14ac:dyDescent="0.3">
      <c r="B339" s="132"/>
      <c r="C339" s="132"/>
      <c r="D339" s="149"/>
      <c r="E339" s="132"/>
      <c r="F339" s="132"/>
      <c r="G339" s="132"/>
      <c r="H339" s="132"/>
      <c r="I339" s="132"/>
      <c r="J339" s="132"/>
      <c r="K339" s="132"/>
      <c r="L339" s="132"/>
      <c r="M339" s="159">
        <v>46143</v>
      </c>
      <c r="N339" s="160">
        <f>G347</f>
        <v>1818665.2686462589</v>
      </c>
      <c r="O339" s="162">
        <f t="shared" si="156"/>
        <v>88942.967890304513</v>
      </c>
      <c r="P339" s="163">
        <f t="shared" si="157"/>
        <v>5.1420374155685601E-2</v>
      </c>
    </row>
    <row r="340" spans="2:21" ht="16.5" thickBot="1" x14ac:dyDescent="0.3">
      <c r="B340" s="166" t="s">
        <v>483</v>
      </c>
      <c r="C340" s="167"/>
      <c r="D340" s="371">
        <v>36</v>
      </c>
      <c r="E340" s="374"/>
      <c r="F340" s="374"/>
      <c r="G340" s="374"/>
      <c r="H340" s="374"/>
      <c r="I340" s="374"/>
      <c r="J340" s="374"/>
      <c r="K340" s="374"/>
      <c r="L340" s="374"/>
      <c r="M340" s="159"/>
      <c r="N340" s="160"/>
      <c r="O340" s="162"/>
      <c r="P340" s="163"/>
      <c r="U340" s="379"/>
    </row>
    <row r="341" spans="2:21" ht="16.5" thickBot="1" x14ac:dyDescent="0.3">
      <c r="B341" s="166" t="s">
        <v>436</v>
      </c>
      <c r="C341" s="167"/>
      <c r="D341" s="488">
        <v>1.2</v>
      </c>
      <c r="E341" s="489"/>
      <c r="F341" s="489"/>
      <c r="G341" s="489"/>
      <c r="H341" s="489"/>
      <c r="I341" s="489"/>
      <c r="J341" s="489"/>
      <c r="K341" s="489"/>
      <c r="L341" s="489"/>
      <c r="M341" s="159"/>
      <c r="N341" s="160"/>
      <c r="O341" s="162"/>
      <c r="P341" s="163"/>
      <c r="Q341" s="489"/>
      <c r="R341" s="489"/>
      <c r="S341" s="489"/>
      <c r="T341" s="378"/>
      <c r="U341" s="379"/>
    </row>
    <row r="342" spans="2:21" ht="16.5" thickBot="1" x14ac:dyDescent="0.3">
      <c r="B342" s="490" t="s">
        <v>434</v>
      </c>
      <c r="C342" s="152"/>
      <c r="D342" s="382">
        <v>0.82</v>
      </c>
      <c r="E342" s="158"/>
      <c r="F342" s="158"/>
      <c r="G342" s="158"/>
      <c r="H342" s="158"/>
      <c r="I342" s="158"/>
      <c r="J342" s="158"/>
      <c r="K342" s="158"/>
      <c r="L342" s="158"/>
      <c r="M342" s="159"/>
      <c r="N342" s="160"/>
      <c r="O342" s="162"/>
      <c r="P342" s="163"/>
      <c r="Q342" s="579"/>
      <c r="R342" s="579"/>
      <c r="S342" s="579"/>
      <c r="T342" s="378"/>
      <c r="U342" s="379"/>
    </row>
    <row r="343" spans="2:21" ht="18" x14ac:dyDescent="0.25">
      <c r="B343" s="390" t="s">
        <v>484</v>
      </c>
      <c r="C343" s="157"/>
      <c r="D343" s="177">
        <v>1</v>
      </c>
      <c r="E343" s="391"/>
      <c r="F343" s="391"/>
      <c r="G343" s="391"/>
      <c r="H343" s="391"/>
      <c r="I343" s="391"/>
      <c r="J343" s="391"/>
      <c r="K343" s="391"/>
      <c r="L343" s="391"/>
      <c r="M343" s="159"/>
      <c r="N343" s="160"/>
      <c r="O343" s="162"/>
      <c r="P343" s="163"/>
      <c r="Q343" s="583"/>
      <c r="R343" s="583"/>
      <c r="S343" s="583"/>
      <c r="T343" s="378"/>
      <c r="U343" s="379"/>
    </row>
    <row r="344" spans="2:21" ht="15.75" x14ac:dyDescent="0.25">
      <c r="B344" s="390"/>
      <c r="C344" s="157"/>
      <c r="D344" s="391"/>
      <c r="E344" s="391"/>
      <c r="F344" s="391"/>
      <c r="G344" s="391"/>
      <c r="H344" s="391"/>
      <c r="I344" s="391"/>
      <c r="J344" s="391"/>
      <c r="K344" s="391"/>
      <c r="L344" s="391"/>
      <c r="M344" s="159"/>
      <c r="N344" s="160"/>
      <c r="O344" s="162"/>
      <c r="P344" s="163"/>
      <c r="Q344" s="583"/>
      <c r="R344" s="583"/>
      <c r="S344" s="583"/>
      <c r="T344" s="378"/>
      <c r="U344" s="379"/>
    </row>
    <row r="345" spans="2:21" ht="14.25" customHeight="1" x14ac:dyDescent="0.25">
      <c r="B345" s="390"/>
      <c r="C345" s="157"/>
      <c r="D345" s="391"/>
      <c r="E345" s="391"/>
      <c r="F345" s="391"/>
      <c r="G345" s="391"/>
      <c r="H345" s="391"/>
      <c r="I345" s="391"/>
      <c r="J345" s="391"/>
      <c r="K345" s="391"/>
      <c r="L345" s="391"/>
      <c r="M345" s="177" t="s">
        <v>442</v>
      </c>
      <c r="N345" s="391"/>
      <c r="O345" s="391"/>
      <c r="P345" s="391"/>
      <c r="Q345" s="391"/>
      <c r="R345" s="391"/>
      <c r="S345" s="391"/>
      <c r="T345" s="391"/>
      <c r="U345" s="391"/>
    </row>
    <row r="346" spans="2:21" ht="21" customHeight="1" thickBot="1" x14ac:dyDescent="0.4">
      <c r="B346" s="390"/>
      <c r="C346" s="157"/>
      <c r="D346" s="641" t="s">
        <v>526</v>
      </c>
      <c r="E346" s="642">
        <f>E347-E350</f>
        <v>368579.14683032432</v>
      </c>
      <c r="F346" s="610" t="s">
        <v>514</v>
      </c>
      <c r="G346" s="642">
        <f>G347-G350</f>
        <v>358110.01163623715</v>
      </c>
      <c r="H346" s="610" t="s">
        <v>524</v>
      </c>
      <c r="J346" s="610" t="s">
        <v>515</v>
      </c>
    </row>
    <row r="347" spans="2:21" ht="24.75" thickTop="1" thickBot="1" x14ac:dyDescent="0.35">
      <c r="B347" s="132"/>
      <c r="C347" s="164"/>
      <c r="D347" s="393" t="str">
        <f>D402</f>
        <v>Líquido</v>
      </c>
      <c r="E347" s="394">
        <f>E372</f>
        <v>1870955.8439051465</v>
      </c>
      <c r="F347" s="609">
        <f>E347/1531473</f>
        <v>1.2216707992273754</v>
      </c>
      <c r="G347" s="394">
        <f>G372</f>
        <v>1818665.2686462589</v>
      </c>
      <c r="H347" s="609">
        <f>G347/1469768</f>
        <v>1.2373825451678488</v>
      </c>
      <c r="I347" s="394">
        <f>I372</f>
        <v>1759722.3007559543</v>
      </c>
      <c r="J347" s="181"/>
      <c r="K347" s="394">
        <f>K372</f>
        <v>1729722.3007559543</v>
      </c>
      <c r="L347" s="181"/>
    </row>
    <row r="348" spans="2:21" ht="24.75" thickTop="1" thickBot="1" x14ac:dyDescent="0.35">
      <c r="B348" s="132"/>
      <c r="C348" s="164"/>
      <c r="D348" s="182" t="s">
        <v>443</v>
      </c>
      <c r="E348" s="180">
        <f>E374</f>
        <v>1812759.1365108846</v>
      </c>
      <c r="F348" s="609">
        <f>E348/1531473</f>
        <v>1.1836703203457617</v>
      </c>
      <c r="G348" s="180">
        <f>G374</f>
        <v>1762121.582598432</v>
      </c>
      <c r="H348" s="609">
        <f>G348/1469768</f>
        <v>1.1989113809787886</v>
      </c>
      <c r="I348" s="180">
        <f>I374</f>
        <v>1705041.9329765248</v>
      </c>
      <c r="J348" s="181"/>
      <c r="K348" s="180">
        <f>K374</f>
        <v>1675041.9329765248</v>
      </c>
      <c r="L348" s="181"/>
    </row>
    <row r="349" spans="2:21" ht="17.25" thickTop="1" thickBot="1" x14ac:dyDescent="0.3">
      <c r="B349" s="172" t="str">
        <f>B404</f>
        <v>Puntos básicos</v>
      </c>
      <c r="C349" s="395"/>
      <c r="D349" s="491">
        <f>D404</f>
        <v>3128.4</v>
      </c>
      <c r="E349" s="71"/>
      <c r="G349" s="71"/>
      <c r="I349" s="71"/>
      <c r="J349" s="273"/>
      <c r="K349" s="71"/>
      <c r="L349" s="273"/>
    </row>
    <row r="350" spans="2:21" ht="23.25" x14ac:dyDescent="0.35">
      <c r="B350" s="630" t="s">
        <v>525</v>
      </c>
      <c r="C350" s="640">
        <v>0.19</v>
      </c>
      <c r="D350" s="605" t="str">
        <f>"Con Desc. Reforma "&amp; descreformasup*100&amp;" %"</f>
        <v>Con Desc. Reforma 19 %</v>
      </c>
      <c r="E350" s="606">
        <f>E372-(E363-E362)*descreformasup</f>
        <v>1502376.6970748222</v>
      </c>
      <c r="F350" s="611">
        <f>E350/1531473</f>
        <v>0.98100109964382143</v>
      </c>
      <c r="G350" s="606">
        <f>G372-(G363-G362)*descreformasup</f>
        <v>1460555.2570100217</v>
      </c>
      <c r="H350" s="611">
        <f>G350/1469768</f>
        <v>0.99373183863713299</v>
      </c>
      <c r="I350" s="606"/>
      <c r="J350" s="604"/>
      <c r="K350" s="132"/>
      <c r="L350" s="492"/>
    </row>
    <row r="351" spans="2:21" ht="23.25" x14ac:dyDescent="0.35">
      <c r="B351" s="600" t="s">
        <v>523</v>
      </c>
      <c r="C351" s="597"/>
      <c r="D351" s="607" t="s">
        <v>516</v>
      </c>
      <c r="E351" s="613">
        <f>0.82*E350/E347</f>
        <v>0.65845962939989688</v>
      </c>
      <c r="F351" s="608"/>
      <c r="G351" s="613">
        <f>0.82*G350/G347</f>
        <v>0.65853531784862418</v>
      </c>
      <c r="H351" s="608"/>
      <c r="I351" s="606"/>
      <c r="J351" s="604"/>
      <c r="K351" s="132"/>
      <c r="L351" s="492"/>
    </row>
    <row r="352" spans="2:21" ht="23.25" x14ac:dyDescent="0.35">
      <c r="D352" s="398"/>
      <c r="E352" s="21">
        <v>46204</v>
      </c>
      <c r="F352" s="22">
        <f>aumentojulio26</f>
        <v>6.6049999999999942E-2</v>
      </c>
      <c r="G352" s="21">
        <v>46143</v>
      </c>
      <c r="H352" s="22">
        <v>3.5000000000000003E-2</v>
      </c>
      <c r="I352" s="21">
        <v>46054</v>
      </c>
      <c r="J352" s="22">
        <v>0</v>
      </c>
      <c r="K352" s="21">
        <v>45992</v>
      </c>
      <c r="L352" s="22" t="e">
        <f>(1+Aumentoene25respdic24)*(1+Aumentodic25respene25)-1</f>
        <v>#NAME?</v>
      </c>
    </row>
    <row r="353" spans="2:12" ht="15.75" thickBot="1" x14ac:dyDescent="0.3">
      <c r="D353" s="69"/>
      <c r="E353">
        <f t="shared" ref="E353" si="158">E407</f>
        <v>0</v>
      </c>
      <c r="F353" s="121"/>
      <c r="G353">
        <f t="shared" ref="G353:I358" si="159">G407</f>
        <v>0</v>
      </c>
      <c r="H353" s="121"/>
      <c r="I353">
        <f t="shared" si="159"/>
        <v>0</v>
      </c>
      <c r="J353" s="121"/>
      <c r="K353">
        <f t="shared" ref="K353" si="160">K407</f>
        <v>0</v>
      </c>
      <c r="L353" s="121"/>
    </row>
    <row r="354" spans="2:12" ht="16.5" thickBot="1" x14ac:dyDescent="0.3">
      <c r="B354" s="185">
        <f t="shared" ref="B354:G361" si="161">B408</f>
        <v>402</v>
      </c>
      <c r="C354" s="186">
        <f t="shared" si="161"/>
        <v>0</v>
      </c>
      <c r="D354" s="187" t="str">
        <f t="shared" si="161"/>
        <v>Sueldo básico</v>
      </c>
      <c r="E354" s="194">
        <f t="shared" si="161"/>
        <v>722043.56861683191</v>
      </c>
      <c r="F354" s="189"/>
      <c r="G354" s="194">
        <f t="shared" si="159"/>
        <v>701013.17341439996</v>
      </c>
      <c r="H354" s="189"/>
      <c r="I354" s="194">
        <f t="shared" si="159"/>
        <v>677307.28347704245</v>
      </c>
      <c r="J354" s="189"/>
      <c r="K354" s="194">
        <f t="shared" ref="K354" si="162">K408</f>
        <v>677307.28347704245</v>
      </c>
      <c r="L354" s="189"/>
    </row>
    <row r="355" spans="2:12" ht="16.5" thickBot="1" x14ac:dyDescent="0.3">
      <c r="B355" s="198">
        <f t="shared" si="161"/>
        <v>406</v>
      </c>
      <c r="C355" s="199">
        <f t="shared" si="161"/>
        <v>0</v>
      </c>
      <c r="D355" s="190" t="str">
        <f t="shared" si="161"/>
        <v>Antigüedad</v>
      </c>
      <c r="E355" s="191">
        <f t="shared" si="161"/>
        <v>891052.28234019829</v>
      </c>
      <c r="F355" s="189"/>
      <c r="G355" s="191">
        <f t="shared" si="159"/>
        <v>865815.80809727998</v>
      </c>
      <c r="H355" s="189"/>
      <c r="I355" s="191">
        <f t="shared" si="159"/>
        <v>837368.7401724509</v>
      </c>
      <c r="J355" s="189"/>
      <c r="K355" s="191">
        <f t="shared" ref="K355" si="163">K409</f>
        <v>837368.7401724509</v>
      </c>
      <c r="L355" s="189"/>
    </row>
    <row r="356" spans="2:12" ht="16.5" thickBot="1" x14ac:dyDescent="0.3">
      <c r="B356" s="198">
        <f t="shared" si="161"/>
        <v>432</v>
      </c>
      <c r="C356" s="199">
        <f t="shared" si="161"/>
        <v>0</v>
      </c>
      <c r="D356" s="190" t="str">
        <f t="shared" si="161"/>
        <v>Dto. 1109/05(cod06act)</v>
      </c>
      <c r="E356" s="191">
        <f t="shared" si="161"/>
        <v>63037.463065559998</v>
      </c>
      <c r="F356" s="189"/>
      <c r="G356" s="191">
        <f t="shared" si="159"/>
        <v>61201.420451999998</v>
      </c>
      <c r="H356" s="189"/>
      <c r="I356" s="191">
        <f t="shared" si="159"/>
        <v>59131.807200000003</v>
      </c>
      <c r="J356" s="189"/>
      <c r="K356" s="191">
        <f t="shared" ref="K356" si="164">K410</f>
        <v>59131.807200000003</v>
      </c>
      <c r="L356" s="189"/>
    </row>
    <row r="357" spans="2:12" ht="16.5" thickBot="1" x14ac:dyDescent="0.3">
      <c r="B357" s="198">
        <f t="shared" si="161"/>
        <v>434</v>
      </c>
      <c r="C357" s="199">
        <f t="shared" si="161"/>
        <v>0</v>
      </c>
      <c r="D357" s="190" t="str">
        <f t="shared" si="161"/>
        <v>Traslado cod 188</v>
      </c>
      <c r="E357" s="191">
        <f t="shared" si="161"/>
        <v>115340.07916180124</v>
      </c>
      <c r="F357" s="189"/>
      <c r="G357" s="191">
        <f t="shared" si="159"/>
        <v>112068.01326388473</v>
      </c>
      <c r="H357" s="189"/>
      <c r="I357" s="191">
        <f t="shared" si="159"/>
        <v>108379.6751314913</v>
      </c>
      <c r="J357" s="189"/>
      <c r="K357" s="191">
        <f t="shared" ref="K357" si="165">K411</f>
        <v>108379.6751314913</v>
      </c>
      <c r="L357" s="189"/>
    </row>
    <row r="358" spans="2:12" ht="16.5" thickBot="1" x14ac:dyDescent="0.3">
      <c r="B358" s="198">
        <f t="shared" si="161"/>
        <v>437</v>
      </c>
      <c r="C358" s="202">
        <f t="shared" si="161"/>
        <v>0</v>
      </c>
      <c r="D358" s="203" t="str">
        <f t="shared" si="161"/>
        <v>DTO. N1462/18 DOCENT</v>
      </c>
      <c r="E358" s="493">
        <f t="shared" si="161"/>
        <v>37803.966606000002</v>
      </c>
      <c r="F358" s="189"/>
      <c r="G358" s="493">
        <f t="shared" si="159"/>
        <v>36702.8802</v>
      </c>
      <c r="H358" s="189"/>
      <c r="I358" s="493">
        <f t="shared" si="159"/>
        <v>35461.72</v>
      </c>
      <c r="J358" s="189"/>
      <c r="K358" s="493">
        <f t="shared" ref="K358" si="166">K412</f>
        <v>35461.72</v>
      </c>
      <c r="L358" s="189"/>
    </row>
    <row r="359" spans="2:12" ht="16.5" thickBot="1" x14ac:dyDescent="0.3">
      <c r="B359" s="198">
        <f t="shared" si="161"/>
        <v>0</v>
      </c>
      <c r="C359" s="202">
        <f t="shared" si="161"/>
        <v>0</v>
      </c>
      <c r="D359" s="222" t="str">
        <f t="shared" si="161"/>
        <v>Otros</v>
      </c>
      <c r="E359" s="494">
        <v>0</v>
      </c>
      <c r="F359" s="189"/>
      <c r="G359" s="494">
        <v>0</v>
      </c>
      <c r="H359" s="189"/>
      <c r="I359" s="494">
        <v>0</v>
      </c>
      <c r="J359" s="189"/>
      <c r="K359" s="494">
        <v>0</v>
      </c>
      <c r="L359" s="189"/>
    </row>
    <row r="360" spans="2:12" ht="21" thickBot="1" x14ac:dyDescent="0.35">
      <c r="B360" s="411">
        <f t="shared" si="161"/>
        <v>1584</v>
      </c>
      <c r="C360" s="412">
        <v>15</v>
      </c>
      <c r="D360" s="407" t="str">
        <f t="shared" si="161"/>
        <v>Adic Dec 173/21 (cod 38 activos)</v>
      </c>
      <c r="E360" s="405">
        <f t="shared" ref="E360" si="167">E414</f>
        <v>90112.88668499999</v>
      </c>
      <c r="F360" s="189"/>
      <c r="G360" s="405">
        <f t="shared" si="161"/>
        <v>87488.239499999996</v>
      </c>
      <c r="H360" s="189"/>
      <c r="I360" s="405">
        <f t="shared" ref="I360" si="168">I414</f>
        <v>84529.7</v>
      </c>
      <c r="J360" s="189"/>
      <c r="K360" s="405">
        <f t="shared" ref="K360" si="169">K414</f>
        <v>84529.7</v>
      </c>
      <c r="L360" s="189"/>
    </row>
    <row r="361" spans="2:12" ht="18.75" thickBot="1" x14ac:dyDescent="0.3">
      <c r="B361" s="205">
        <v>1622</v>
      </c>
      <c r="C361" s="413">
        <v>1</v>
      </c>
      <c r="D361" s="309" t="s">
        <v>444</v>
      </c>
      <c r="E361" s="310">
        <f t="shared" ref="E361" si="170">E415</f>
        <v>20500</v>
      </c>
      <c r="F361" s="311"/>
      <c r="G361" s="310">
        <f t="shared" si="161"/>
        <v>20500</v>
      </c>
      <c r="H361" s="311"/>
      <c r="I361" s="310">
        <f t="shared" ref="I361" si="171">I415</f>
        <v>20500</v>
      </c>
      <c r="J361" s="311"/>
      <c r="K361" s="310">
        <f t="shared" ref="K361" si="172">K415</f>
        <v>20500</v>
      </c>
      <c r="L361" s="311"/>
    </row>
    <row r="362" spans="2:12" ht="20.25" x14ac:dyDescent="0.3">
      <c r="B362" s="569">
        <v>1650</v>
      </c>
      <c r="C362" s="568">
        <v>1</v>
      </c>
      <c r="D362" s="570" t="s">
        <v>501</v>
      </c>
      <c r="E362" s="571">
        <f t="shared" ref="E362:G368" si="173">E416</f>
        <v>30000</v>
      </c>
      <c r="F362" s="572"/>
      <c r="G362" s="571">
        <f t="shared" si="173"/>
        <v>30000</v>
      </c>
      <c r="H362" s="572"/>
      <c r="I362" s="571">
        <f t="shared" ref="I362:I368" si="174">I416</f>
        <v>30000</v>
      </c>
      <c r="J362" s="572"/>
      <c r="K362" s="571">
        <f t="shared" ref="K362:K368" si="175">K416</f>
        <v>0</v>
      </c>
      <c r="L362" s="572"/>
    </row>
    <row r="363" spans="2:12" ht="18" x14ac:dyDescent="0.25">
      <c r="B363" s="131">
        <f t="shared" ref="B363:D368" si="176">B417</f>
        <v>0</v>
      </c>
      <c r="C363" s="495">
        <f t="shared" si="176"/>
        <v>0</v>
      </c>
      <c r="D363" s="212" t="str">
        <f t="shared" si="176"/>
        <v>Haberes</v>
      </c>
      <c r="E363" s="496">
        <f t="shared" si="173"/>
        <v>1969890.2464753913</v>
      </c>
      <c r="F363" s="497"/>
      <c r="G363" s="496">
        <f t="shared" si="173"/>
        <v>1914789.5349275647</v>
      </c>
      <c r="H363" s="497"/>
      <c r="I363" s="496">
        <f t="shared" si="174"/>
        <v>1852678.9259809845</v>
      </c>
      <c r="J363" s="497"/>
      <c r="K363" s="496">
        <f t="shared" si="175"/>
        <v>1822678.9259809845</v>
      </c>
      <c r="L363" s="497"/>
    </row>
    <row r="364" spans="2:12" ht="15.75" x14ac:dyDescent="0.25">
      <c r="B364" s="198">
        <f t="shared" si="176"/>
        <v>703</v>
      </c>
      <c r="C364" s="498">
        <f t="shared" si="176"/>
        <v>2.5000000000000001E-3</v>
      </c>
      <c r="D364" s="499" t="str">
        <f t="shared" si="176"/>
        <v>Federació de  jubil</v>
      </c>
      <c r="E364" s="500">
        <f t="shared" si="173"/>
        <v>4849.7256161884789</v>
      </c>
      <c r="F364" s="501"/>
      <c r="G364" s="500">
        <f t="shared" si="173"/>
        <v>4711.973837318912</v>
      </c>
      <c r="H364" s="501"/>
      <c r="I364" s="500">
        <f t="shared" si="174"/>
        <v>4556.6973149524611</v>
      </c>
      <c r="J364" s="501"/>
      <c r="K364" s="500">
        <f t="shared" si="175"/>
        <v>4556.6973149524611</v>
      </c>
      <c r="L364" s="501"/>
    </row>
    <row r="365" spans="2:12" ht="15.75" x14ac:dyDescent="0.25">
      <c r="B365" s="198">
        <f t="shared" si="176"/>
        <v>707</v>
      </c>
      <c r="C365" s="218">
        <f t="shared" si="176"/>
        <v>0.03</v>
      </c>
      <c r="D365" s="190" t="str">
        <f t="shared" si="176"/>
        <v>Aporte IOSPER</v>
      </c>
      <c r="E365" s="219">
        <f t="shared" si="173"/>
        <v>58196.707394261735</v>
      </c>
      <c r="F365" s="192"/>
      <c r="G365" s="219">
        <f t="shared" si="173"/>
        <v>56543.686047826937</v>
      </c>
      <c r="H365" s="192"/>
      <c r="I365" s="219">
        <f t="shared" si="174"/>
        <v>54680.367779429529</v>
      </c>
      <c r="J365" s="192"/>
      <c r="K365" s="219">
        <f t="shared" si="175"/>
        <v>54680.367779429529</v>
      </c>
      <c r="L365" s="192"/>
    </row>
    <row r="366" spans="2:12" ht="15.75" x14ac:dyDescent="0.25">
      <c r="B366" s="198">
        <f>B420</f>
        <v>709</v>
      </c>
      <c r="C366" s="220">
        <v>1.5E-3</v>
      </c>
      <c r="D366" s="190" t="str">
        <f t="shared" si="176"/>
        <v>Seguro ley 3011</v>
      </c>
      <c r="E366" s="219">
        <f t="shared" si="173"/>
        <v>2909.8353697130869</v>
      </c>
      <c r="F366" s="192"/>
      <c r="G366" s="219">
        <f t="shared" si="173"/>
        <v>2827.184302391347</v>
      </c>
      <c r="H366" s="192"/>
      <c r="I366" s="219">
        <f t="shared" si="174"/>
        <v>2734.0183889714767</v>
      </c>
      <c r="J366" s="192"/>
      <c r="K366" s="219">
        <f t="shared" si="175"/>
        <v>2734.0183889714767</v>
      </c>
      <c r="L366" s="192"/>
    </row>
    <row r="367" spans="2:12" ht="15.75" x14ac:dyDescent="0.25">
      <c r="B367" s="198">
        <f>B421</f>
        <v>713</v>
      </c>
      <c r="C367" s="221">
        <f>C421</f>
        <v>7.0000000000000001E-3</v>
      </c>
      <c r="D367" s="190" t="str">
        <f t="shared" si="176"/>
        <v>Serv Sepelio IAPS</v>
      </c>
      <c r="E367" s="219">
        <f t="shared" si="173"/>
        <v>13579.23172532774</v>
      </c>
      <c r="F367" s="192"/>
      <c r="G367" s="219">
        <f t="shared" si="173"/>
        <v>13193.526744492952</v>
      </c>
      <c r="H367" s="192"/>
      <c r="I367" s="219">
        <f t="shared" si="174"/>
        <v>12758.752481866892</v>
      </c>
      <c r="J367" s="192"/>
      <c r="K367" s="219">
        <f t="shared" si="175"/>
        <v>12758.752481866892</v>
      </c>
      <c r="L367" s="192"/>
    </row>
    <row r="368" spans="2:12" ht="18" x14ac:dyDescent="0.25">
      <c r="B368" s="198">
        <f>B422</f>
        <v>787</v>
      </c>
      <c r="C368" s="587">
        <v>0.01</v>
      </c>
      <c r="D368" s="190" t="str">
        <f t="shared" si="176"/>
        <v>Desc AGMER 1 %</v>
      </c>
      <c r="E368" s="219">
        <f t="shared" si="173"/>
        <v>19398.902464753915</v>
      </c>
      <c r="F368" s="192"/>
      <c r="G368" s="219">
        <f t="shared" si="173"/>
        <v>18847.895349275648</v>
      </c>
      <c r="H368" s="192"/>
      <c r="I368" s="219">
        <f t="shared" si="174"/>
        <v>18226.789259809844</v>
      </c>
      <c r="J368" s="192"/>
      <c r="K368" s="219">
        <f t="shared" si="175"/>
        <v>18226.789259809844</v>
      </c>
      <c r="L368" s="192"/>
    </row>
    <row r="369" spans="2:12" ht="15.75" x14ac:dyDescent="0.25">
      <c r="B369" s="502"/>
      <c r="C369" s="503"/>
      <c r="D369" s="504" t="str">
        <f>D423</f>
        <v>Otros descuentos</v>
      </c>
      <c r="E369" s="505">
        <v>0</v>
      </c>
      <c r="F369" s="224"/>
      <c r="G369" s="505">
        <v>0</v>
      </c>
      <c r="H369" s="224"/>
      <c r="I369" s="505">
        <v>0</v>
      </c>
      <c r="J369" s="224"/>
      <c r="K369" s="505">
        <v>0</v>
      </c>
      <c r="L369" s="224"/>
    </row>
    <row r="370" spans="2:12" ht="15.75" x14ac:dyDescent="0.25">
      <c r="B370" s="132"/>
      <c r="C370" s="132"/>
      <c r="D370" s="125" t="str">
        <f>D424</f>
        <v>Descuentos</v>
      </c>
      <c r="E370" s="506">
        <f>E424</f>
        <v>98934.402570244958</v>
      </c>
      <c r="F370" s="457"/>
      <c r="G370" s="506">
        <f>G424</f>
        <v>96124.266281305783</v>
      </c>
      <c r="H370" s="457"/>
      <c r="I370" s="506">
        <f>I424</f>
        <v>92956.625225030206</v>
      </c>
      <c r="J370" s="457"/>
      <c r="K370" s="506">
        <f>K424</f>
        <v>92956.625225030206</v>
      </c>
      <c r="L370" s="457"/>
    </row>
    <row r="371" spans="2:12" ht="15.75" x14ac:dyDescent="0.25">
      <c r="B371" s="20"/>
      <c r="C371" s="20"/>
      <c r="D371" s="507"/>
      <c r="E371" s="458"/>
      <c r="F371" s="211"/>
      <c r="G371" s="458"/>
      <c r="H371" s="211"/>
      <c r="I371" s="458"/>
      <c r="J371" s="211"/>
      <c r="K371" s="458"/>
      <c r="L371" s="211"/>
    </row>
    <row r="372" spans="2:12" ht="24" thickBot="1" x14ac:dyDescent="0.4">
      <c r="B372" s="232"/>
      <c r="C372" s="233"/>
      <c r="D372" s="508" t="str">
        <f t="shared" ref="D372:G374" si="177">D426</f>
        <v>Líquido</v>
      </c>
      <c r="E372" s="509">
        <f t="shared" ref="E372" si="178">E426</f>
        <v>1870955.8439051465</v>
      </c>
      <c r="F372" s="510"/>
      <c r="G372" s="509">
        <f t="shared" si="177"/>
        <v>1818665.2686462589</v>
      </c>
      <c r="H372" s="510"/>
      <c r="I372" s="509">
        <f>I426</f>
        <v>1759722.3007559543</v>
      </c>
      <c r="J372" s="510"/>
      <c r="K372" s="509">
        <f>K426</f>
        <v>1729722.3007559543</v>
      </c>
      <c r="L372" s="510"/>
    </row>
    <row r="373" spans="2:12" ht="18" x14ac:dyDescent="0.25">
      <c r="B373" s="232"/>
      <c r="C373" s="232"/>
      <c r="D373" s="511" t="str">
        <f t="shared" si="177"/>
        <v>Aporte Jubilatorio 3%</v>
      </c>
      <c r="E373" s="512">
        <f t="shared" ref="E373" si="179">E427</f>
        <v>58196.707394261735</v>
      </c>
      <c r="F373" s="513"/>
      <c r="G373" s="512">
        <f t="shared" si="177"/>
        <v>56543.686047826937</v>
      </c>
      <c r="H373" s="513"/>
      <c r="I373" s="512">
        <f>I427</f>
        <v>54680.367779429529</v>
      </c>
      <c r="J373" s="513"/>
      <c r="K373" s="512">
        <f>K427</f>
        <v>54680.367779429529</v>
      </c>
      <c r="L373" s="513"/>
    </row>
    <row r="374" spans="2:12" ht="23.25" x14ac:dyDescent="0.35">
      <c r="B374" s="232"/>
      <c r="C374" s="232"/>
      <c r="D374" s="514" t="str">
        <f t="shared" si="177"/>
        <v>Líquido menores 57-62</v>
      </c>
      <c r="E374" s="515">
        <f t="shared" ref="E374" si="180">E428</f>
        <v>1812759.1365108846</v>
      </c>
      <c r="F374" s="516"/>
      <c r="G374" s="515">
        <f t="shared" si="177"/>
        <v>1762121.582598432</v>
      </c>
      <c r="H374" s="516"/>
      <c r="I374" s="515">
        <f>I428</f>
        <v>1705041.9329765248</v>
      </c>
      <c r="J374" s="516"/>
      <c r="K374" s="515">
        <f>K428</f>
        <v>1675041.9329765248</v>
      </c>
      <c r="L374" s="516"/>
    </row>
    <row r="375" spans="2:12" ht="16.5" thickBot="1" x14ac:dyDescent="0.3">
      <c r="B375" s="232"/>
      <c r="C375" s="232"/>
      <c r="D375" s="237"/>
      <c r="E375" s="517"/>
      <c r="F375" s="518"/>
      <c r="G375" s="517"/>
      <c r="H375" s="518"/>
      <c r="I375" s="517"/>
      <c r="J375" s="518"/>
      <c r="K375" s="517"/>
      <c r="L375" s="518"/>
    </row>
    <row r="376" spans="2:12" ht="18.75" thickTop="1" x14ac:dyDescent="0.25">
      <c r="B376" s="132"/>
      <c r="C376" s="132"/>
      <c r="D376" s="242" t="str">
        <f>D430</f>
        <v>Aumento mensual</v>
      </c>
      <c r="E376" s="519">
        <f>E430</f>
        <v>52290.575258887606</v>
      </c>
      <c r="F376" s="520"/>
      <c r="G376" s="519">
        <f>G430</f>
        <v>58942.967890304513</v>
      </c>
      <c r="H376" s="520"/>
      <c r="I376" s="519">
        <f>I430</f>
        <v>30000</v>
      </c>
      <c r="J376" s="520"/>
      <c r="K376" s="519"/>
      <c r="L376" s="520"/>
    </row>
    <row r="377" spans="2:12" ht="18.75" thickBot="1" x14ac:dyDescent="0.3">
      <c r="B377" s="132"/>
      <c r="C377" s="132"/>
      <c r="D377" s="246" t="str">
        <f>D431</f>
        <v>Aum porcentual</v>
      </c>
      <c r="E377" s="521">
        <f>E431</f>
        <v>2.8752171254587493E-2</v>
      </c>
      <c r="F377" s="522"/>
      <c r="G377" s="521">
        <f>G431</f>
        <v>3.3495607724572996E-2</v>
      </c>
      <c r="H377" s="522"/>
      <c r="I377" s="521">
        <f>I431</f>
        <v>1.7343824489566249E-2</v>
      </c>
      <c r="J377" s="522"/>
      <c r="K377" s="521"/>
      <c r="L377" s="522"/>
    </row>
    <row r="378" spans="2:12" ht="17.25" thickTop="1" thickBot="1" x14ac:dyDescent="0.3">
      <c r="B378" s="132"/>
      <c r="C378" s="132"/>
      <c r="D378" s="259"/>
      <c r="E378" s="260"/>
      <c r="F378" s="523"/>
      <c r="G378" s="260"/>
      <c r="H378" s="523"/>
      <c r="I378" s="260"/>
      <c r="J378" s="523"/>
      <c r="K378" s="260"/>
      <c r="L378" s="523"/>
    </row>
    <row r="379" spans="2:12" ht="18.75" thickBot="1" x14ac:dyDescent="0.3">
      <c r="B379" s="132"/>
      <c r="C379" s="132"/>
      <c r="D379" s="251" t="s">
        <v>447</v>
      </c>
      <c r="E379" s="342">
        <f>E433</f>
        <v>50637.553912452655</v>
      </c>
      <c r="F379" s="480"/>
      <c r="G379" s="342">
        <f>G433</f>
        <v>57079.649621907156</v>
      </c>
      <c r="H379" s="480"/>
      <c r="I379" s="342">
        <f>I433</f>
        <v>30000</v>
      </c>
      <c r="J379" s="480"/>
      <c r="K379" s="342"/>
      <c r="L379" s="480"/>
    </row>
    <row r="380" spans="2:12" ht="18.75" thickBot="1" x14ac:dyDescent="0.3">
      <c r="B380" s="132"/>
      <c r="C380" s="132"/>
      <c r="D380" s="251" t="s">
        <v>448</v>
      </c>
      <c r="E380" s="343">
        <f>E434</f>
        <v>2.8736696952421582E-2</v>
      </c>
      <c r="F380" s="480"/>
      <c r="G380" s="343">
        <f>G434</f>
        <v>3.3476977027926874E-2</v>
      </c>
      <c r="H380" s="480"/>
      <c r="I380" s="343">
        <f>I434</f>
        <v>1.7909999391293115E-2</v>
      </c>
      <c r="J380" s="480"/>
      <c r="K380" s="343"/>
      <c r="L380" s="480"/>
    </row>
    <row r="381" spans="2:12" ht="16.5" thickBot="1" x14ac:dyDescent="0.3">
      <c r="B381" s="132"/>
      <c r="C381" s="132"/>
      <c r="D381" s="523"/>
      <c r="E381" s="260"/>
      <c r="F381" s="523"/>
      <c r="G381" s="260"/>
      <c r="H381" s="523"/>
      <c r="I381" s="260"/>
      <c r="J381" s="523"/>
      <c r="K381" s="260"/>
      <c r="L381" s="523"/>
    </row>
    <row r="382" spans="2:12" ht="18.75" thickTop="1" x14ac:dyDescent="0.25">
      <c r="B382" s="132"/>
      <c r="C382" s="132"/>
      <c r="D382" s="255" t="str">
        <f t="shared" ref="D382:G384" si="181">D436</f>
        <v>Aumento acumulado anual</v>
      </c>
      <c r="E382" s="443">
        <f t="shared" ref="E382" si="182">E436</f>
        <v>141233.54314919212</v>
      </c>
      <c r="F382" s="524"/>
      <c r="G382" s="443">
        <f t="shared" si="181"/>
        <v>88942.967890304513</v>
      </c>
      <c r="H382" s="524"/>
      <c r="I382" s="443">
        <f t="shared" ref="I382" si="183">I436</f>
        <v>30000</v>
      </c>
      <c r="J382" s="524"/>
      <c r="K382" s="443"/>
      <c r="L382" s="524"/>
    </row>
    <row r="383" spans="2:12" ht="18.75" thickBot="1" x14ac:dyDescent="0.3">
      <c r="B383" s="164"/>
      <c r="C383" s="132"/>
      <c r="D383" s="257" t="str">
        <f t="shared" si="181"/>
        <v>Porc Aum acumulado anual</v>
      </c>
      <c r="E383" s="525">
        <f t="shared" ref="E383" si="184">E437</f>
        <v>8.165099281397234E-2</v>
      </c>
      <c r="F383" s="526"/>
      <c r="G383" s="525">
        <f t="shared" si="181"/>
        <v>5.1420374155685601E-2</v>
      </c>
      <c r="H383" s="526"/>
      <c r="I383" s="525">
        <f t="shared" ref="I383" si="185">I437</f>
        <v>1.7343824489566249E-2</v>
      </c>
      <c r="J383" s="526"/>
      <c r="K383" s="525"/>
      <c r="L383" s="526"/>
    </row>
    <row r="384" spans="2:12" ht="17.25" thickTop="1" thickBot="1" x14ac:dyDescent="0.3">
      <c r="B384" s="132"/>
      <c r="C384" s="132"/>
      <c r="D384" s="259">
        <f t="shared" si="181"/>
        <v>0</v>
      </c>
      <c r="E384" s="260">
        <f t="shared" ref="E384" si="186">E438</f>
        <v>0</v>
      </c>
      <c r="F384" s="261"/>
      <c r="G384" s="260">
        <f t="shared" si="181"/>
        <v>0</v>
      </c>
      <c r="H384" s="261"/>
      <c r="I384" s="260">
        <f t="shared" ref="I384" si="187">I438</f>
        <v>0</v>
      </c>
      <c r="J384" s="261"/>
      <c r="K384" s="260"/>
      <c r="L384" s="261"/>
    </row>
    <row r="385" spans="2:12" ht="18.75" thickBot="1" x14ac:dyDescent="0.3">
      <c r="B385" s="132"/>
      <c r="C385" s="132"/>
      <c r="D385" s="262" t="s">
        <v>449</v>
      </c>
      <c r="E385" s="344">
        <f>E439</f>
        <v>137717.20353435981</v>
      </c>
      <c r="F385" s="263"/>
      <c r="G385" s="344">
        <f>G439</f>
        <v>87079.649621907156</v>
      </c>
      <c r="H385" s="263"/>
      <c r="I385" s="344">
        <f>I439</f>
        <v>30000</v>
      </c>
      <c r="J385" s="263"/>
      <c r="K385" s="344"/>
      <c r="L385" s="263"/>
    </row>
    <row r="386" spans="2:12" ht="18.75" thickBot="1" x14ac:dyDescent="0.3">
      <c r="B386" s="132"/>
      <c r="C386" s="132"/>
      <c r="D386" s="262" t="s">
        <v>450</v>
      </c>
      <c r="E386" s="481">
        <f>E440</f>
        <v>8.2217167715699133E-2</v>
      </c>
      <c r="F386" s="263"/>
      <c r="G386" s="481">
        <f>G440</f>
        <v>5.1986549057412491E-2</v>
      </c>
      <c r="H386" s="263"/>
      <c r="I386" s="481">
        <f>I440</f>
        <v>1.7909999391293115E-2</v>
      </c>
      <c r="J386" s="263"/>
      <c r="K386" s="481"/>
      <c r="L386" s="263"/>
    </row>
    <row r="387" spans="2:12" ht="16.5" thickBot="1" x14ac:dyDescent="0.3">
      <c r="B387" s="132"/>
      <c r="C387" s="132"/>
      <c r="D387" s="259"/>
      <c r="E387" s="527"/>
      <c r="F387" s="261"/>
      <c r="G387" s="527"/>
      <c r="H387" s="261"/>
      <c r="I387" s="527"/>
      <c r="J387" s="261"/>
      <c r="K387" s="527"/>
      <c r="L387" s="261"/>
    </row>
    <row r="388" spans="2:12" ht="21" thickTop="1" x14ac:dyDescent="0.3">
      <c r="B388" s="132"/>
      <c r="C388" s="132"/>
      <c r="D388" s="265" t="str">
        <f>D442</f>
        <v>MEDIO AGUINALDO</v>
      </c>
      <c r="E388" s="528"/>
      <c r="F388" s="267"/>
      <c r="G388" s="528"/>
      <c r="H388" s="267"/>
      <c r="I388" s="528"/>
      <c r="J388" s="267"/>
      <c r="K388" s="528"/>
      <c r="L388" s="267"/>
    </row>
    <row r="389" spans="2:12" ht="15.75" x14ac:dyDescent="0.25">
      <c r="B389" s="132"/>
      <c r="C389" s="132"/>
      <c r="D389" s="268"/>
      <c r="E389" s="529"/>
      <c r="F389" s="270"/>
      <c r="G389" s="529"/>
      <c r="H389" s="270"/>
      <c r="I389" s="529"/>
      <c r="J389" s="270"/>
      <c r="K389" s="529"/>
      <c r="L389" s="270"/>
    </row>
    <row r="390" spans="2:12" ht="15.75" x14ac:dyDescent="0.25">
      <c r="B390" s="132"/>
      <c r="C390" s="132"/>
      <c r="D390" s="271" t="str">
        <f>D444</f>
        <v>Código 550</v>
      </c>
      <c r="E390" s="272">
        <f>E444</f>
        <v>984945.12323769566</v>
      </c>
      <c r="F390" s="273"/>
      <c r="G390" s="272">
        <f>G444</f>
        <v>957394.76746378234</v>
      </c>
      <c r="H390" s="273"/>
      <c r="I390" s="272">
        <f>I444</f>
        <v>926339.46299049223</v>
      </c>
      <c r="J390" s="273"/>
      <c r="K390" s="272">
        <f>K444</f>
        <v>911339.46299049223</v>
      </c>
      <c r="L390" s="273"/>
    </row>
    <row r="391" spans="2:12" ht="15.75" x14ac:dyDescent="0.25">
      <c r="B391" s="132"/>
      <c r="C391" s="132"/>
      <c r="D391" s="274"/>
      <c r="E391" s="269"/>
      <c r="F391" s="270"/>
      <c r="G391" s="269"/>
      <c r="H391" s="270"/>
      <c r="I391" s="269"/>
      <c r="J391" s="270"/>
      <c r="K391" s="269"/>
      <c r="L391" s="270"/>
    </row>
    <row r="392" spans="2:12" ht="15.75" x14ac:dyDescent="0.25">
      <c r="B392" s="132"/>
      <c r="C392" s="132"/>
      <c r="D392" s="271" t="str">
        <f t="shared" ref="D392:G398" si="188">D446</f>
        <v>Descuentos</v>
      </c>
      <c r="E392" s="269"/>
      <c r="F392" s="273"/>
      <c r="G392" s="269"/>
      <c r="H392" s="273"/>
      <c r="I392" s="269"/>
      <c r="J392" s="273"/>
      <c r="K392" s="269"/>
      <c r="L392" s="273"/>
    </row>
    <row r="393" spans="2:12" ht="15.75" x14ac:dyDescent="0.25">
      <c r="B393" s="198">
        <f>B447</f>
        <v>703</v>
      </c>
      <c r="C393" s="214">
        <f>C447</f>
        <v>2.5000000000000001E-3</v>
      </c>
      <c r="D393" s="275" t="str">
        <f t="shared" si="188"/>
        <v>Federación de  jubil</v>
      </c>
      <c r="E393" s="276">
        <f t="shared" ref="E393" si="189">E447</f>
        <v>2462.3628080942394</v>
      </c>
      <c r="F393" s="277"/>
      <c r="G393" s="276">
        <f t="shared" si="188"/>
        <v>2393.486918659456</v>
      </c>
      <c r="H393" s="277"/>
      <c r="I393" s="276">
        <f t="shared" ref="I393" si="190">I447</f>
        <v>2315.8486574762305</v>
      </c>
      <c r="J393" s="277"/>
      <c r="K393" s="276">
        <f t="shared" ref="K393" si="191">K447</f>
        <v>2278.3486574762305</v>
      </c>
      <c r="L393" s="277"/>
    </row>
    <row r="394" spans="2:12" ht="15.75" x14ac:dyDescent="0.25">
      <c r="B394" s="198">
        <f>B448</f>
        <v>707</v>
      </c>
      <c r="C394" s="218">
        <f>C448</f>
        <v>0.03</v>
      </c>
      <c r="D394" s="278" t="str">
        <f t="shared" si="188"/>
        <v>Aporte IOSPER</v>
      </c>
      <c r="E394" s="276">
        <f t="shared" ref="E394" si="192">E448</f>
        <v>29548.353697130868</v>
      </c>
      <c r="F394" s="279"/>
      <c r="G394" s="276">
        <f t="shared" si="188"/>
        <v>28721.843023913469</v>
      </c>
      <c r="H394" s="279"/>
      <c r="I394" s="276">
        <f t="shared" ref="I394" si="193">I448</f>
        <v>27790.183889714765</v>
      </c>
      <c r="J394" s="279"/>
      <c r="K394" s="276">
        <f t="shared" ref="K394" si="194">K448</f>
        <v>27340.183889714765</v>
      </c>
      <c r="L394" s="279"/>
    </row>
    <row r="395" spans="2:12" ht="15.75" x14ac:dyDescent="0.25">
      <c r="B395" s="198">
        <f>B449</f>
        <v>709</v>
      </c>
      <c r="C395" s="220">
        <v>1.5E-3</v>
      </c>
      <c r="D395" s="278" t="str">
        <f t="shared" si="188"/>
        <v>Seguro ley 3011</v>
      </c>
      <c r="E395" s="276">
        <f t="shared" ref="E395" si="195">E449</f>
        <v>1477.4176848565435</v>
      </c>
      <c r="F395" s="279"/>
      <c r="G395" s="276">
        <f t="shared" si="188"/>
        <v>1436.0921511956735</v>
      </c>
      <c r="H395" s="279"/>
      <c r="I395" s="276">
        <f t="shared" ref="I395" si="196">I449</f>
        <v>1389.5091944857384</v>
      </c>
      <c r="J395" s="279"/>
      <c r="K395" s="276">
        <f t="shared" ref="K395" si="197">K449</f>
        <v>1367.0091944857384</v>
      </c>
      <c r="L395" s="279"/>
    </row>
    <row r="396" spans="2:12" ht="15.75" x14ac:dyDescent="0.25">
      <c r="B396" s="198">
        <f>B450</f>
        <v>713</v>
      </c>
      <c r="C396" s="221">
        <f>C450</f>
        <v>7.0000000000000001E-3</v>
      </c>
      <c r="D396" s="278" t="str">
        <f t="shared" si="188"/>
        <v>Serv Sepelio IAPS</v>
      </c>
      <c r="E396" s="276">
        <f t="shared" ref="E396" si="198">E450</f>
        <v>6894.6158626638698</v>
      </c>
      <c r="F396" s="279"/>
      <c r="G396" s="276">
        <f t="shared" si="188"/>
        <v>6701.7633722464761</v>
      </c>
      <c r="H396" s="279"/>
      <c r="I396" s="276">
        <f t="shared" ref="I396" si="199">I450</f>
        <v>6484.3762409334458</v>
      </c>
      <c r="J396" s="279"/>
      <c r="K396" s="276">
        <f t="shared" ref="K396" si="200">K450</f>
        <v>6379.3762409334458</v>
      </c>
      <c r="L396" s="279"/>
    </row>
    <row r="397" spans="2:12" ht="16.5" thickBot="1" x14ac:dyDescent="0.3">
      <c r="B397" s="198">
        <f>B451</f>
        <v>787</v>
      </c>
      <c r="C397" s="218">
        <f>C368</f>
        <v>0.01</v>
      </c>
      <c r="D397" s="278" t="str">
        <f t="shared" si="188"/>
        <v>Desc AGMER 1 %</v>
      </c>
      <c r="E397" s="276">
        <f t="shared" ref="E397" si="201">E451</f>
        <v>9849.4512323769577</v>
      </c>
      <c r="F397" s="279"/>
      <c r="G397" s="276">
        <f t="shared" si="188"/>
        <v>9573.9476746378241</v>
      </c>
      <c r="H397" s="279"/>
      <c r="I397" s="276">
        <f t="shared" ref="I397" si="202">I451</f>
        <v>9263.3946299049221</v>
      </c>
      <c r="J397" s="279"/>
      <c r="K397" s="276">
        <f t="shared" ref="K397" si="203">K451</f>
        <v>9113.3946299049221</v>
      </c>
      <c r="L397" s="279"/>
    </row>
    <row r="398" spans="2:12" ht="16.5" thickBot="1" x14ac:dyDescent="0.3">
      <c r="B398" s="132"/>
      <c r="C398" s="132"/>
      <c r="D398" s="280" t="str">
        <f t="shared" si="188"/>
        <v>Total Descuentos</v>
      </c>
      <c r="E398" s="281">
        <f t="shared" ref="E398" si="204">E452</f>
        <v>50232.201285122479</v>
      </c>
      <c r="F398" s="227"/>
      <c r="G398" s="281">
        <f t="shared" si="188"/>
        <v>48827.133140652892</v>
      </c>
      <c r="H398" s="227"/>
      <c r="I398" s="281">
        <f t="shared" ref="I398" si="205">I452</f>
        <v>47243.312612515103</v>
      </c>
      <c r="J398" s="227"/>
      <c r="K398" s="281">
        <f t="shared" ref="K398" si="206">K452</f>
        <v>46478.312612515103</v>
      </c>
      <c r="L398" s="227"/>
    </row>
    <row r="399" spans="2:12" ht="16.5" thickBot="1" x14ac:dyDescent="0.3">
      <c r="B399" s="132"/>
      <c r="C399" s="132"/>
      <c r="D399" s="282"/>
      <c r="E399" s="530"/>
      <c r="F399" s="365"/>
      <c r="G399" s="530"/>
      <c r="H399" s="365"/>
      <c r="I399" s="530"/>
      <c r="J399" s="365"/>
      <c r="K399" s="530"/>
      <c r="L399" s="365"/>
    </row>
    <row r="400" spans="2:12" ht="21" thickBot="1" x14ac:dyDescent="0.35">
      <c r="B400" s="132"/>
      <c r="C400" s="132"/>
      <c r="D400" s="285" t="str">
        <f>D454</f>
        <v>Líquido</v>
      </c>
      <c r="E400" s="531">
        <f>E454</f>
        <v>934712.92195257323</v>
      </c>
      <c r="F400" s="532"/>
      <c r="G400" s="531">
        <f>G454</f>
        <v>908567.63432312943</v>
      </c>
      <c r="H400" s="532"/>
      <c r="I400" s="531">
        <f>I454</f>
        <v>879096.15037797717</v>
      </c>
      <c r="J400" s="532"/>
      <c r="K400" s="531">
        <f>K454</f>
        <v>864861.15037797717</v>
      </c>
      <c r="L400" s="532"/>
    </row>
    <row r="401" spans="2:12" ht="17.25" thickTop="1" thickBot="1" x14ac:dyDescent="0.3">
      <c r="B401" s="390"/>
      <c r="C401" s="157"/>
      <c r="D401" s="391"/>
      <c r="E401" s="377"/>
      <c r="F401" s="389"/>
      <c r="G401" s="377"/>
      <c r="H401" s="389"/>
      <c r="I401" s="377"/>
      <c r="J401" s="389"/>
      <c r="K401" s="377"/>
      <c r="L401" s="389"/>
    </row>
    <row r="402" spans="2:12" ht="24" thickBot="1" x14ac:dyDescent="0.3">
      <c r="B402" s="291"/>
      <c r="C402" s="291"/>
      <c r="D402" s="292" t="s">
        <v>473</v>
      </c>
      <c r="E402" s="462">
        <f>E426</f>
        <v>1870955.8439051465</v>
      </c>
      <c r="F402" s="463"/>
      <c r="G402" s="462">
        <f>G426</f>
        <v>1818665.2686462589</v>
      </c>
      <c r="H402" s="463"/>
      <c r="I402" s="462">
        <f>I426</f>
        <v>1759722.3007559543</v>
      </c>
      <c r="J402" s="463"/>
      <c r="K402" s="462">
        <f>K426</f>
        <v>1729722.3007559543</v>
      </c>
      <c r="L402" s="463"/>
    </row>
    <row r="403" spans="2:12" ht="23.25" x14ac:dyDescent="0.25">
      <c r="B403" s="533"/>
      <c r="C403" s="533"/>
      <c r="D403" s="534"/>
      <c r="E403" s="535">
        <f>E428</f>
        <v>1812759.1365108846</v>
      </c>
      <c r="F403" s="536"/>
      <c r="G403" s="535">
        <f>G428</f>
        <v>1762121.582598432</v>
      </c>
      <c r="H403" s="536"/>
      <c r="I403" s="535">
        <f>I428</f>
        <v>1705041.9329765248</v>
      </c>
      <c r="J403" s="536"/>
      <c r="K403" s="535">
        <f>K428</f>
        <v>1675041.9329765248</v>
      </c>
      <c r="L403" s="536"/>
    </row>
    <row r="404" spans="2:12" ht="15.75" x14ac:dyDescent="0.25">
      <c r="B404" s="20" t="s">
        <v>439</v>
      </c>
      <c r="C404" s="132"/>
      <c r="D404" s="71">
        <f>D340*86.9</f>
        <v>3128.4</v>
      </c>
      <c r="E404" s="71"/>
      <c r="F404" s="273"/>
      <c r="G404" s="71"/>
      <c r="H404" s="273"/>
      <c r="I404" s="71"/>
      <c r="J404" s="273"/>
      <c r="K404" s="71"/>
      <c r="L404" s="273"/>
    </row>
    <row r="405" spans="2:12" ht="15.75" x14ac:dyDescent="0.25">
      <c r="B405" s="132"/>
      <c r="C405" s="164"/>
      <c r="D405" s="537"/>
      <c r="E405" s="132"/>
      <c r="F405" s="492"/>
      <c r="G405" s="132"/>
      <c r="H405" s="492"/>
      <c r="I405" s="132"/>
      <c r="J405" s="492"/>
      <c r="K405" s="132"/>
      <c r="L405" s="492"/>
    </row>
    <row r="406" spans="2:12" ht="23.25" x14ac:dyDescent="0.35">
      <c r="B406">
        <f>66853/15</f>
        <v>4456.8666666666668</v>
      </c>
      <c r="D406" s="23"/>
      <c r="E406" s="21">
        <v>46143</v>
      </c>
      <c r="F406" s="22">
        <v>3.5000000000000003E-2</v>
      </c>
      <c r="G406" s="21">
        <v>46143</v>
      </c>
      <c r="H406" s="22">
        <v>3.5000000000000003E-2</v>
      </c>
      <c r="I406" s="21">
        <v>46054</v>
      </c>
      <c r="J406" s="22">
        <v>0</v>
      </c>
      <c r="K406" s="21">
        <v>45992</v>
      </c>
      <c r="L406" s="538"/>
    </row>
    <row r="407" spans="2:12" ht="15.75" thickBot="1" x14ac:dyDescent="0.3">
      <c r="B407" s="539"/>
      <c r="C407" s="539"/>
      <c r="D407" s="539"/>
      <c r="E407" s="539"/>
      <c r="F407" s="540"/>
      <c r="G407" s="539"/>
      <c r="H407" s="540"/>
      <c r="I407" s="539"/>
      <c r="J407" s="540"/>
      <c r="K407" s="539"/>
      <c r="L407" s="540"/>
    </row>
    <row r="408" spans="2:12" ht="16.5" thickBot="1" x14ac:dyDescent="0.3">
      <c r="B408" s="291">
        <v>402</v>
      </c>
      <c r="C408" s="291"/>
      <c r="D408" s="291" t="s">
        <v>452</v>
      </c>
      <c r="E408" s="298">
        <f>puntostotalhorassup*indicejul26*porjubhorsup</f>
        <v>722043.56861683191</v>
      </c>
      <c r="F408" s="541"/>
      <c r="G408" s="298">
        <f>puntostotalhorassup*indicemay26*porjubhorsup</f>
        <v>701013.17341439996</v>
      </c>
      <c r="H408" s="541"/>
      <c r="I408" s="298">
        <f>puntostotalhorassup*indicedic25*porjubhorsup</f>
        <v>677307.28347704245</v>
      </c>
      <c r="J408" s="541"/>
      <c r="K408" s="298">
        <f>puntostotalhorassup*indicedic25*porjubhorsup</f>
        <v>677307.28347704245</v>
      </c>
      <c r="L408" s="541"/>
    </row>
    <row r="409" spans="2:12" ht="16.5" thickBot="1" x14ac:dyDescent="0.3">
      <c r="B409" s="291">
        <v>406</v>
      </c>
      <c r="C409" s="291"/>
      <c r="D409" s="291" t="s">
        <v>458</v>
      </c>
      <c r="E409" s="298">
        <f>(E408+E415)*porcantigsup</f>
        <v>891052.28234019829</v>
      </c>
      <c r="F409" s="541"/>
      <c r="G409" s="298">
        <f>(G408+G415)*porcantigsup</f>
        <v>865815.80809727998</v>
      </c>
      <c r="H409" s="541"/>
      <c r="I409" s="298">
        <f>(I408+I415)*porcantigsup</f>
        <v>837368.7401724509</v>
      </c>
      <c r="J409" s="541"/>
      <c r="K409" s="298">
        <f>(K408+K415)*porcantigsup</f>
        <v>837368.7401724509</v>
      </c>
      <c r="L409" s="541"/>
    </row>
    <row r="410" spans="2:12" ht="16.5" thickBot="1" x14ac:dyDescent="0.3">
      <c r="B410" s="291">
        <v>432</v>
      </c>
      <c r="C410" s="291"/>
      <c r="D410" s="291" t="s">
        <v>487</v>
      </c>
      <c r="E410" s="298">
        <f>IF(numhorassup&gt;17,17*4241.88,4241.88*numhorassup)*porjubhorsup*(1+aumentojulio26)</f>
        <v>63037.463065559998</v>
      </c>
      <c r="F410" s="541"/>
      <c r="G410" s="298">
        <f>IF(numhorassup&gt;17,17*4241.88,4241.88*numhorassup)*porjubhorsup*(1+aumentomayo26)</f>
        <v>61201.420451999998</v>
      </c>
      <c r="H410" s="541"/>
      <c r="I410" s="298">
        <f>IF(numhorassup&gt;17,17*4241.88,4241.88*numhorassup)*porjubhorsup</f>
        <v>59131.807200000003</v>
      </c>
      <c r="J410" s="541"/>
      <c r="K410" s="298">
        <f>IF(numhorassup&gt;17,17*4241.88,4241.88*numhorassup)*porjubhorsup</f>
        <v>59131.807200000003</v>
      </c>
      <c r="L410" s="541"/>
    </row>
    <row r="411" spans="2:12" ht="16.5" thickBot="1" x14ac:dyDescent="0.3">
      <c r="B411" s="291">
        <v>434</v>
      </c>
      <c r="C411" s="291"/>
      <c r="D411" s="291" t="s">
        <v>462</v>
      </c>
      <c r="E411" s="298">
        <f>(E408+E409+E410+E412+E415)*0.07*0.95</f>
        <v>115340.07916180124</v>
      </c>
      <c r="F411" s="541"/>
      <c r="G411" s="298">
        <f>(G408+G409+G410+G412+G415)*0.07*0.95</f>
        <v>112068.01326388473</v>
      </c>
      <c r="H411" s="541"/>
      <c r="I411" s="298">
        <f>(I408+I409+I410+I412+I415)*0.07*0.95</f>
        <v>108379.6751314913</v>
      </c>
      <c r="J411" s="541"/>
      <c r="K411" s="298">
        <f>(K408+K409+K410+K412+K415)*0.07*0.95</f>
        <v>108379.6751314913</v>
      </c>
      <c r="L411" s="541"/>
    </row>
    <row r="412" spans="2:12" ht="16.5" thickBot="1" x14ac:dyDescent="0.3">
      <c r="B412" s="291">
        <v>437</v>
      </c>
      <c r="C412" s="291"/>
      <c r="D412" s="306" t="s">
        <v>463</v>
      </c>
      <c r="E412" s="298">
        <f>IF(numhorassup&gt;30,43246,1141.5333*numhorassup)*porjubhorsup*(1+aumentojulio26)</f>
        <v>37803.966606000002</v>
      </c>
      <c r="F412" s="541"/>
      <c r="G412" s="298">
        <f>IF(numhorassup&gt;30,43246,1141.5333*numhorassup)*porjubhorsup*(1+aumentomayo26)</f>
        <v>36702.8802</v>
      </c>
      <c r="H412" s="541"/>
      <c r="I412" s="298">
        <f>IF(numhorassup&gt;30,43246,1141.5333*numhorassup)*porjubhorsup</f>
        <v>35461.72</v>
      </c>
      <c r="J412" s="541"/>
      <c r="K412" s="298">
        <f>IF(numhorassup&gt;30,43246,1141.5333*numhorassup)*porjubhorsup</f>
        <v>35461.72</v>
      </c>
      <c r="L412" s="541"/>
    </row>
    <row r="413" spans="2:12" ht="16.5" thickBot="1" x14ac:dyDescent="0.3">
      <c r="B413" s="291"/>
      <c r="C413" s="291"/>
      <c r="D413" s="291" t="s">
        <v>464</v>
      </c>
      <c r="E413" s="312">
        <f>E359</f>
        <v>0</v>
      </c>
      <c r="F413" s="541"/>
      <c r="G413" s="312">
        <f>G359</f>
        <v>0</v>
      </c>
      <c r="H413" s="541"/>
      <c r="I413" s="312">
        <f>I359</f>
        <v>0</v>
      </c>
      <c r="J413" s="541"/>
      <c r="K413" s="312">
        <f>K359</f>
        <v>0</v>
      </c>
      <c r="L413" s="541"/>
    </row>
    <row r="414" spans="2:12" ht="21" thickBot="1" x14ac:dyDescent="0.35">
      <c r="B414" s="471">
        <v>1584</v>
      </c>
      <c r="C414" s="542">
        <f>C360</f>
        <v>15</v>
      </c>
      <c r="D414" s="306" t="s">
        <v>489</v>
      </c>
      <c r="E414" s="298">
        <f>IF($C414="",IF(numhorassup&lt;15,6872.3333*numhorassup,103085),IF($C414&lt;15,6872.3333*$C414,103085))*porjubhorsup*solohorassup*(1+aumentojulio26)</f>
        <v>90112.88668499999</v>
      </c>
      <c r="F414" s="541"/>
      <c r="G414" s="298">
        <f>IF($C414="",IF(numhorassup&lt;15,6872.3333*numhorassup,103085),IF($C414&lt;15,6872.3333*$C414,103085))*porjubhorsup*solohorassup*(1+aumentomayo26)</f>
        <v>87488.239499999996</v>
      </c>
      <c r="H414" s="541"/>
      <c r="I414" s="298">
        <f>IF($C414="",IF(numhorassup&lt;15,6872.3333*numhorassup,103085),IF($C414&lt;15,6872.3333*$C414,103085))*porjubhorsup*solohorassup</f>
        <v>84529.7</v>
      </c>
      <c r="J414" s="541"/>
      <c r="K414" s="298">
        <f>IF($C414="",IF(numhorassup&lt;15,6872.3333*numhorassup,103085),IF($C414&lt;15,6872.3333*$C414,103085))*porjubhorsup*solohorassup</f>
        <v>84529.7</v>
      </c>
      <c r="L414" s="541"/>
    </row>
    <row r="415" spans="2:12" ht="18.75" thickBot="1" x14ac:dyDescent="0.3">
      <c r="B415" s="205">
        <v>1622</v>
      </c>
      <c r="C415" s="308">
        <f>C361</f>
        <v>1</v>
      </c>
      <c r="D415" s="309" t="s">
        <v>444</v>
      </c>
      <c r="E415" s="310">
        <f>IF(AND(porcantigsup&gt;=50%,$C415=1),IF(numhorassup&gt;15,25000,1666.6666*numhorassup),0)*porjubcar*frac</f>
        <v>20500</v>
      </c>
      <c r="F415" s="311"/>
      <c r="G415" s="310">
        <f>IF(AND(porcantigsup&gt;=50%,$C415=1),IF(numhorassup&gt;15,25000,1666.6666*numhorassup),0)*porjubcar*frac</f>
        <v>20500</v>
      </c>
      <c r="H415" s="311"/>
      <c r="I415" s="310">
        <f>IF(AND(porcantigsup&gt;=50%,$C415=1),IF(numhorassup&gt;15,25000,1666.6666*numhorassup),0)*porjubcar*frac</f>
        <v>20500</v>
      </c>
      <c r="J415" s="311"/>
      <c r="K415" s="310">
        <f>IF(AND(porcantigsup&gt;=50%,$C415=1),IF(numhorassup&gt;15,25000,1666.6666*numhorassup),0)*porjubcar*frac</f>
        <v>20500</v>
      </c>
      <c r="L415" s="311"/>
    </row>
    <row r="416" spans="2:12" ht="21" thickBot="1" x14ac:dyDescent="0.35">
      <c r="B416" s="569">
        <v>1650</v>
      </c>
      <c r="C416" s="568">
        <f>C362</f>
        <v>1</v>
      </c>
      <c r="D416" s="570" t="s">
        <v>501</v>
      </c>
      <c r="E416" s="571">
        <f>IF($C416=1,IF(numhorassup&lt;15,2000*numhorassup,30000),0)</f>
        <v>30000</v>
      </c>
      <c r="F416" s="311"/>
      <c r="G416" s="571">
        <f>IF($C416=1,IF(numhorassup&lt;15,2000*numhorassup,30000),0)</f>
        <v>30000</v>
      </c>
      <c r="H416" s="311"/>
      <c r="I416" s="571">
        <f>IF($C416=1,IF(numhorassup&lt;15,2000*numhorassup,30000),0)</f>
        <v>30000</v>
      </c>
      <c r="J416" s="311"/>
      <c r="K416" s="571">
        <v>0</v>
      </c>
      <c r="L416" s="311"/>
    </row>
    <row r="417" spans="2:12" ht="18.75" thickBot="1" x14ac:dyDescent="0.3">
      <c r="B417" s="291"/>
      <c r="C417" s="350"/>
      <c r="D417" s="313" t="s">
        <v>465</v>
      </c>
      <c r="E417" s="357">
        <f>SUM(E408:E416)</f>
        <v>1969890.2464753913</v>
      </c>
      <c r="F417" s="541"/>
      <c r="G417" s="357">
        <f>SUM(G408:G416)</f>
        <v>1914789.5349275647</v>
      </c>
      <c r="H417" s="541"/>
      <c r="I417" s="357">
        <f>SUM(I408:I416)</f>
        <v>1852678.9259809845</v>
      </c>
      <c r="J417" s="541"/>
      <c r="K417" s="357">
        <f>SUM(K408:K416)</f>
        <v>1822678.9259809845</v>
      </c>
      <c r="L417" s="541"/>
    </row>
    <row r="418" spans="2:12" ht="16.5" thickBot="1" x14ac:dyDescent="0.3">
      <c r="B418" s="291">
        <v>703</v>
      </c>
      <c r="C418" s="316">
        <v>2.5000000000000001E-3</v>
      </c>
      <c r="D418" s="317" t="s">
        <v>490</v>
      </c>
      <c r="E418" s="318">
        <f>(E417-E413-E416)*$C418</f>
        <v>4849.7256161884789</v>
      </c>
      <c r="F418" s="543"/>
      <c r="G418" s="318">
        <f>(G417-G413-G416)*$C418</f>
        <v>4711.973837318912</v>
      </c>
      <c r="H418" s="543"/>
      <c r="I418" s="318">
        <f>(I417-I413-I416)*$C418</f>
        <v>4556.6973149524611</v>
      </c>
      <c r="J418" s="543"/>
      <c r="K418" s="318">
        <f>(K417-K413-K416)*$C418</f>
        <v>4556.6973149524611</v>
      </c>
      <c r="L418" s="543"/>
    </row>
    <row r="419" spans="2:12" ht="16.5" thickBot="1" x14ac:dyDescent="0.3">
      <c r="B419" s="291">
        <v>707</v>
      </c>
      <c r="C419" s="320">
        <v>0.03</v>
      </c>
      <c r="D419" s="291" t="s">
        <v>467</v>
      </c>
      <c r="E419" s="318">
        <f>(E417-E413-E416)*$C419</f>
        <v>58196.707394261735</v>
      </c>
      <c r="F419" s="543"/>
      <c r="G419" s="318">
        <f>(G417-G413-G416)*$C419</f>
        <v>56543.686047826937</v>
      </c>
      <c r="H419" s="543"/>
      <c r="I419" s="318">
        <f>(I417-I413-I416)*$C419</f>
        <v>54680.367779429529</v>
      </c>
      <c r="J419" s="543"/>
      <c r="K419" s="318">
        <f>(K417-K413-K416)*$C419</f>
        <v>54680.367779429529</v>
      </c>
      <c r="L419" s="543"/>
    </row>
    <row r="420" spans="2:12" ht="16.5" thickBot="1" x14ac:dyDescent="0.3">
      <c r="B420" s="291">
        <v>709</v>
      </c>
      <c r="C420" s="544">
        <f>C366</f>
        <v>1.5E-3</v>
      </c>
      <c r="D420" s="291" t="s">
        <v>468</v>
      </c>
      <c r="E420" s="318">
        <f>(E417-E413-E416)*$C420</f>
        <v>2909.8353697130869</v>
      </c>
      <c r="F420" s="543"/>
      <c r="G420" s="318">
        <f>(G417-G413-G416)*$C420</f>
        <v>2827.184302391347</v>
      </c>
      <c r="H420" s="543"/>
      <c r="I420" s="318">
        <f>(I417-I413-I416)*$C420</f>
        <v>2734.0183889714767</v>
      </c>
      <c r="J420" s="543"/>
      <c r="K420" s="318">
        <f>(K417-K413-K416)*$C420</f>
        <v>2734.0183889714767</v>
      </c>
      <c r="L420" s="543"/>
    </row>
    <row r="421" spans="2:12" ht="16.5" thickBot="1" x14ac:dyDescent="0.3">
      <c r="B421" s="291">
        <v>713</v>
      </c>
      <c r="C421" s="322">
        <v>7.0000000000000001E-3</v>
      </c>
      <c r="D421" s="291" t="s">
        <v>469</v>
      </c>
      <c r="E421" s="318">
        <f>(E417-E413-E416)*$C421</f>
        <v>13579.23172532774</v>
      </c>
      <c r="F421" s="543"/>
      <c r="G421" s="318">
        <f>(G417-G413-G416)*$C421</f>
        <v>13193.526744492952</v>
      </c>
      <c r="H421" s="543"/>
      <c r="I421" s="318">
        <f>(I417-I413-I416)*$C421</f>
        <v>12758.752481866892</v>
      </c>
      <c r="J421" s="543"/>
      <c r="K421" s="318">
        <f>(K417-K413-K416)*$C421</f>
        <v>12758.752481866892</v>
      </c>
      <c r="L421" s="543"/>
    </row>
    <row r="422" spans="2:12" ht="16.5" thickBot="1" x14ac:dyDescent="0.3">
      <c r="B422" s="291">
        <v>787</v>
      </c>
      <c r="C422" s="320">
        <f>C368</f>
        <v>0.01</v>
      </c>
      <c r="D422" s="291" t="s">
        <v>470</v>
      </c>
      <c r="E422" s="318">
        <f>(E417-E413-E416)*$C422</f>
        <v>19398.902464753915</v>
      </c>
      <c r="F422" s="543"/>
      <c r="G422" s="318">
        <f>(G417-G413-G416)*$C422</f>
        <v>18847.895349275648</v>
      </c>
      <c r="H422" s="543"/>
      <c r="I422" s="318">
        <f>(I417-I413-I416)*$C422</f>
        <v>18226.789259809844</v>
      </c>
      <c r="J422" s="543"/>
      <c r="K422" s="318">
        <f>(K417-K413-K416)*$C422</f>
        <v>18226.789259809844</v>
      </c>
      <c r="L422" s="543"/>
    </row>
    <row r="423" spans="2:12" ht="16.5" thickBot="1" x14ac:dyDescent="0.3">
      <c r="B423" s="291"/>
      <c r="C423" s="291"/>
      <c r="D423" s="291" t="s">
        <v>471</v>
      </c>
      <c r="E423" s="545">
        <f>E369</f>
        <v>0</v>
      </c>
      <c r="F423" s="543"/>
      <c r="G423" s="545">
        <f>G369</f>
        <v>0</v>
      </c>
      <c r="H423" s="543"/>
      <c r="I423" s="545">
        <f>I369</f>
        <v>0</v>
      </c>
      <c r="J423" s="543"/>
      <c r="K423" s="545">
        <f>K369</f>
        <v>0</v>
      </c>
      <c r="L423" s="543"/>
    </row>
    <row r="424" spans="2:12" ht="16.5" thickBot="1" x14ac:dyDescent="0.3">
      <c r="B424" s="291"/>
      <c r="C424" s="291"/>
      <c r="D424" s="324" t="s">
        <v>472</v>
      </c>
      <c r="E424" s="474">
        <f>SUM(E418:E423)</f>
        <v>98934.402570244958</v>
      </c>
      <c r="F424" s="543"/>
      <c r="G424" s="474">
        <f>SUM(G418:G423)</f>
        <v>96124.266281305783</v>
      </c>
      <c r="H424" s="543"/>
      <c r="I424" s="474">
        <f>SUM(I418:I423)</f>
        <v>92956.625225030206</v>
      </c>
      <c r="J424" s="543"/>
      <c r="K424" s="474">
        <f>SUM(K418:K423)</f>
        <v>92956.625225030206</v>
      </c>
      <c r="L424" s="543"/>
    </row>
    <row r="425" spans="2:12" ht="16.5" thickBot="1" x14ac:dyDescent="0.3">
      <c r="B425" s="324"/>
      <c r="C425" s="324"/>
      <c r="D425" s="291"/>
      <c r="E425" s="327"/>
      <c r="F425" s="543"/>
      <c r="G425" s="327"/>
      <c r="H425" s="543"/>
      <c r="I425" s="327"/>
      <c r="J425" s="543"/>
      <c r="K425" s="327"/>
      <c r="L425" s="543"/>
    </row>
    <row r="426" spans="2:12" ht="27" thickBot="1" x14ac:dyDescent="0.45">
      <c r="B426" s="299"/>
      <c r="C426" s="299"/>
      <c r="D426" s="328" t="s">
        <v>473</v>
      </c>
      <c r="E426" s="546">
        <f>E417-E424</f>
        <v>1870955.8439051465</v>
      </c>
      <c r="F426" s="547"/>
      <c r="G426" s="546">
        <f>G417-G424</f>
        <v>1818665.2686462589</v>
      </c>
      <c r="H426" s="547"/>
      <c r="I426" s="546">
        <f>I417-I424</f>
        <v>1759722.3007559543</v>
      </c>
      <c r="J426" s="547"/>
      <c r="K426" s="546">
        <f>K417-K424</f>
        <v>1729722.3007559543</v>
      </c>
      <c r="L426" s="547"/>
    </row>
    <row r="427" spans="2:12" ht="18.75" thickBot="1" x14ac:dyDescent="0.3">
      <c r="B427" s="299"/>
      <c r="C427" s="299"/>
      <c r="D427" s="433" t="s">
        <v>445</v>
      </c>
      <c r="E427" s="434">
        <f>(E417-E413-E416)*0.03</f>
        <v>58196.707394261735</v>
      </c>
      <c r="F427" s="433"/>
      <c r="G427" s="434">
        <f>(G417-G413-G416)*0.03</f>
        <v>56543.686047826937</v>
      </c>
      <c r="H427" s="433"/>
      <c r="I427" s="434">
        <f>(I417-I413-I416)*0.03</f>
        <v>54680.367779429529</v>
      </c>
      <c r="J427" s="433"/>
      <c r="K427" s="434">
        <f>(K417-K413-K416)*0.03</f>
        <v>54680.367779429529</v>
      </c>
      <c r="L427" s="433"/>
    </row>
    <row r="428" spans="2:12" ht="24" thickBot="1" x14ac:dyDescent="0.4">
      <c r="B428" s="299"/>
      <c r="C428" s="299"/>
      <c r="D428" s="435" t="s">
        <v>446</v>
      </c>
      <c r="E428" s="432">
        <f>E426-E427</f>
        <v>1812759.1365108846</v>
      </c>
      <c r="F428" s="433"/>
      <c r="G428" s="432">
        <f>G426-G427</f>
        <v>1762121.582598432</v>
      </c>
      <c r="H428" s="433"/>
      <c r="I428" s="432">
        <f>I426-I427</f>
        <v>1705041.9329765248</v>
      </c>
      <c r="J428" s="433"/>
      <c r="K428" s="432">
        <f>K426-K427</f>
        <v>1675041.9329765248</v>
      </c>
      <c r="L428" s="433"/>
    </row>
    <row r="429" spans="2:12" ht="16.5" thickBot="1" x14ac:dyDescent="0.3">
      <c r="B429" s="299"/>
      <c r="C429" s="299"/>
      <c r="D429" s="332"/>
      <c r="E429" s="332"/>
      <c r="F429" s="543"/>
      <c r="G429" s="332"/>
      <c r="H429" s="543"/>
      <c r="I429" s="332"/>
      <c r="J429" s="543"/>
      <c r="K429" s="332"/>
      <c r="L429" s="543"/>
    </row>
    <row r="430" spans="2:12" ht="18.75" thickBot="1" x14ac:dyDescent="0.3">
      <c r="B430" s="291"/>
      <c r="C430" s="291"/>
      <c r="D430" s="337" t="s">
        <v>474</v>
      </c>
      <c r="E430" s="338">
        <f>E426-G426</f>
        <v>52290.575258887606</v>
      </c>
      <c r="F430" s="549"/>
      <c r="G430" s="338">
        <f>G426-I426</f>
        <v>58942.967890304513</v>
      </c>
      <c r="H430" s="549"/>
      <c r="I430" s="338">
        <f>I426-K426</f>
        <v>30000</v>
      </c>
      <c r="J430" s="549"/>
      <c r="K430" s="338"/>
      <c r="L430" s="549"/>
    </row>
    <row r="431" spans="2:12" ht="18.75" thickBot="1" x14ac:dyDescent="0.3">
      <c r="B431" s="291"/>
      <c r="C431" s="291"/>
      <c r="D431" s="337" t="s">
        <v>475</v>
      </c>
      <c r="E431" s="341">
        <f>E430/G426</f>
        <v>2.8752171254587493E-2</v>
      </c>
      <c r="F431" s="548"/>
      <c r="G431" s="341">
        <f>G430/I426</f>
        <v>3.3495607724572996E-2</v>
      </c>
      <c r="H431" s="548"/>
      <c r="I431" s="341">
        <f>I430/K426</f>
        <v>1.7343824489566249E-2</v>
      </c>
      <c r="J431" s="548"/>
      <c r="K431" s="341"/>
      <c r="L431" s="548"/>
    </row>
    <row r="432" spans="2:12" ht="16.5" thickBot="1" x14ac:dyDescent="0.3">
      <c r="B432" s="291"/>
      <c r="C432" s="291"/>
      <c r="D432" s="347"/>
      <c r="E432" s="291"/>
      <c r="F432" s="551"/>
      <c r="G432" s="291"/>
      <c r="H432" s="551"/>
      <c r="I432" s="291"/>
      <c r="J432" s="551"/>
      <c r="K432" s="550"/>
      <c r="L432" s="551"/>
    </row>
    <row r="433" spans="2:12" ht="18.75" thickBot="1" x14ac:dyDescent="0.3">
      <c r="B433" s="291"/>
      <c r="C433" s="291"/>
      <c r="D433" s="251" t="s">
        <v>447</v>
      </c>
      <c r="E433" s="342">
        <f>E428-G428</f>
        <v>50637.553912452655</v>
      </c>
      <c r="F433" s="480"/>
      <c r="G433" s="342">
        <f>G428-I428</f>
        <v>57079.649621907156</v>
      </c>
      <c r="H433" s="480"/>
      <c r="I433" s="342">
        <f>I428-K428</f>
        <v>30000</v>
      </c>
      <c r="J433" s="480"/>
      <c r="K433" s="342"/>
      <c r="L433" s="480"/>
    </row>
    <row r="434" spans="2:12" ht="18.75" thickBot="1" x14ac:dyDescent="0.3">
      <c r="B434" s="291"/>
      <c r="C434" s="291"/>
      <c r="D434" s="251" t="s">
        <v>448</v>
      </c>
      <c r="E434" s="343">
        <f>E433/G428</f>
        <v>2.8736696952421582E-2</v>
      </c>
      <c r="F434" s="480"/>
      <c r="G434" s="343">
        <f>G433/I428</f>
        <v>3.3476977027926874E-2</v>
      </c>
      <c r="H434" s="480"/>
      <c r="I434" s="343">
        <f>I433/K428</f>
        <v>1.7909999391293115E-2</v>
      </c>
      <c r="J434" s="480"/>
      <c r="K434" s="343"/>
      <c r="L434" s="480"/>
    </row>
    <row r="435" spans="2:12" ht="16.5" thickBot="1" x14ac:dyDescent="0.3">
      <c r="B435" s="291"/>
      <c r="C435" s="291"/>
      <c r="D435" s="291"/>
      <c r="E435" s="291"/>
      <c r="F435" s="543"/>
      <c r="G435" s="291"/>
      <c r="H435" s="543"/>
      <c r="I435" s="291"/>
      <c r="J435" s="543"/>
      <c r="K435" s="291"/>
      <c r="L435" s="543"/>
    </row>
    <row r="436" spans="2:12" ht="18.75" thickBot="1" x14ac:dyDescent="0.3">
      <c r="B436" s="291"/>
      <c r="C436" s="291"/>
      <c r="D436" s="262" t="s">
        <v>476</v>
      </c>
      <c r="E436" s="344">
        <f>E426-$K426</f>
        <v>141233.54314919212</v>
      </c>
      <c r="F436" s="549"/>
      <c r="G436" s="344">
        <f>G426-$K426</f>
        <v>88942.967890304513</v>
      </c>
      <c r="H436" s="549"/>
      <c r="I436" s="344">
        <f>I426-$K426</f>
        <v>30000</v>
      </c>
      <c r="J436" s="549"/>
      <c r="K436" s="344"/>
      <c r="L436" s="549"/>
    </row>
    <row r="437" spans="2:12" ht="18.75" thickBot="1" x14ac:dyDescent="0.3">
      <c r="B437" s="336"/>
      <c r="C437" s="291"/>
      <c r="D437" s="262" t="s">
        <v>492</v>
      </c>
      <c r="E437" s="346">
        <f>E436/$K426</f>
        <v>8.165099281397234E-2</v>
      </c>
      <c r="F437" s="543"/>
      <c r="G437" s="346">
        <f>G436/$K426</f>
        <v>5.1420374155685601E-2</v>
      </c>
      <c r="H437" s="543"/>
      <c r="I437" s="346">
        <f>I436/$K426</f>
        <v>1.7343824489566249E-2</v>
      </c>
      <c r="J437" s="543"/>
      <c r="K437" s="552"/>
      <c r="L437" s="543"/>
    </row>
    <row r="438" spans="2:12" ht="16.5" thickBot="1" x14ac:dyDescent="0.3">
      <c r="B438" s="291"/>
      <c r="C438" s="291"/>
      <c r="D438" s="347"/>
      <c r="E438" s="348"/>
      <c r="F438" s="543"/>
      <c r="G438" s="348"/>
      <c r="H438" s="543"/>
      <c r="I438" s="348"/>
      <c r="J438" s="543"/>
      <c r="K438" s="348"/>
      <c r="L438" s="543"/>
    </row>
    <row r="439" spans="2:12" ht="18.75" thickBot="1" x14ac:dyDescent="0.3">
      <c r="B439" s="291"/>
      <c r="C439" s="291"/>
      <c r="D439" s="262" t="s">
        <v>449</v>
      </c>
      <c r="E439" s="344">
        <f>E428-$K428</f>
        <v>137717.20353435981</v>
      </c>
      <c r="F439" s="263"/>
      <c r="G439" s="344">
        <f>G428-$K428</f>
        <v>87079.649621907156</v>
      </c>
      <c r="H439" s="263"/>
      <c r="I439" s="344">
        <f>I428-$K428</f>
        <v>30000</v>
      </c>
      <c r="J439" s="263"/>
      <c r="K439" s="344"/>
      <c r="L439" s="263"/>
    </row>
    <row r="440" spans="2:12" ht="18.75" thickBot="1" x14ac:dyDescent="0.3">
      <c r="B440" s="291"/>
      <c r="C440" s="291"/>
      <c r="D440" s="262" t="s">
        <v>450</v>
      </c>
      <c r="E440" s="346">
        <f>E439/$K428</f>
        <v>8.2217167715699133E-2</v>
      </c>
      <c r="F440" s="263"/>
      <c r="G440" s="346">
        <f>G439/$K428</f>
        <v>5.1986549057412491E-2</v>
      </c>
      <c r="H440" s="263"/>
      <c r="I440" s="346">
        <f>I439/$K428</f>
        <v>1.7909999391293115E-2</v>
      </c>
      <c r="J440" s="263"/>
      <c r="K440" s="552"/>
      <c r="L440" s="263"/>
    </row>
    <row r="441" spans="2:12" ht="16.5" thickBot="1" x14ac:dyDescent="0.3">
      <c r="B441" s="291"/>
      <c r="C441" s="291"/>
      <c r="D441" s="347"/>
      <c r="E441" s="348"/>
      <c r="F441" s="263"/>
      <c r="G441" s="348"/>
      <c r="H441" s="263"/>
      <c r="I441" s="348"/>
      <c r="J441" s="263"/>
      <c r="K441" s="348"/>
      <c r="L441" s="263"/>
    </row>
    <row r="442" spans="2:12" ht="21" thickBot="1" x14ac:dyDescent="0.35">
      <c r="B442" s="291"/>
      <c r="C442" s="291"/>
      <c r="D442" s="352" t="s">
        <v>478</v>
      </c>
      <c r="E442" s="352"/>
      <c r="F442" s="354"/>
      <c r="G442" s="352"/>
      <c r="H442" s="354"/>
      <c r="I442" s="352"/>
      <c r="J442" s="354"/>
      <c r="K442" s="352"/>
      <c r="L442" s="354"/>
    </row>
    <row r="443" spans="2:12" ht="16.5" thickBot="1" x14ac:dyDescent="0.3">
      <c r="B443" s="291"/>
      <c r="C443" s="291"/>
      <c r="D443" s="355"/>
      <c r="E443" s="355"/>
      <c r="F443" s="356"/>
      <c r="G443" s="355"/>
      <c r="H443" s="356"/>
      <c r="I443" s="355"/>
      <c r="J443" s="356"/>
      <c r="K443" s="355"/>
      <c r="L443" s="356"/>
    </row>
    <row r="444" spans="2:12" ht="16.5" thickBot="1" x14ac:dyDescent="0.3">
      <c r="B444" s="291"/>
      <c r="C444" s="291"/>
      <c r="D444" s="357" t="s">
        <v>479</v>
      </c>
      <c r="E444" s="357">
        <f>E417*0.5</f>
        <v>984945.12323769566</v>
      </c>
      <c r="F444" s="358"/>
      <c r="G444" s="357">
        <f>G417*0.5</f>
        <v>957394.76746378234</v>
      </c>
      <c r="H444" s="358"/>
      <c r="I444" s="357">
        <f>I417*0.5</f>
        <v>926339.46299049223</v>
      </c>
      <c r="J444" s="358"/>
      <c r="K444" s="357">
        <f>K417*0.5</f>
        <v>911339.46299049223</v>
      </c>
      <c r="L444" s="358"/>
    </row>
    <row r="445" spans="2:12" ht="16.5" thickBot="1" x14ac:dyDescent="0.3">
      <c r="B445" s="291"/>
      <c r="C445" s="291"/>
      <c r="D445" s="355"/>
      <c r="E445" s="291"/>
      <c r="F445" s="356"/>
      <c r="G445" s="291"/>
      <c r="H445" s="356"/>
      <c r="I445" s="291"/>
      <c r="J445" s="356"/>
      <c r="K445" s="291"/>
      <c r="L445" s="356"/>
    </row>
    <row r="446" spans="2:12" ht="16.5" thickBot="1" x14ac:dyDescent="0.3">
      <c r="B446" s="291"/>
      <c r="C446" s="291"/>
      <c r="D446" s="357" t="s">
        <v>472</v>
      </c>
      <c r="E446" s="291"/>
      <c r="F446" s="358"/>
      <c r="G446" s="291"/>
      <c r="H446" s="358"/>
      <c r="I446" s="291"/>
      <c r="J446" s="358"/>
      <c r="K446" s="291"/>
      <c r="L446" s="358"/>
    </row>
    <row r="447" spans="2:12" ht="16.5" thickBot="1" x14ac:dyDescent="0.3">
      <c r="B447" s="291">
        <v>703</v>
      </c>
      <c r="C447" s="316">
        <v>2.5000000000000001E-3</v>
      </c>
      <c r="D447" s="317" t="s">
        <v>466</v>
      </c>
      <c r="E447" s="318">
        <f>E444*0.0025</f>
        <v>2462.3628080942394</v>
      </c>
      <c r="F447" s="319"/>
      <c r="G447" s="318">
        <f>G444*0.0025</f>
        <v>2393.486918659456</v>
      </c>
      <c r="H447" s="319"/>
      <c r="I447" s="318">
        <f>I444*0.0025</f>
        <v>2315.8486574762305</v>
      </c>
      <c r="J447" s="319"/>
      <c r="K447" s="318">
        <f>K444*0.0025</f>
        <v>2278.3486574762305</v>
      </c>
      <c r="L447" s="319"/>
    </row>
    <row r="448" spans="2:12" ht="16.5" thickBot="1" x14ac:dyDescent="0.3">
      <c r="B448" s="291">
        <v>707</v>
      </c>
      <c r="C448" s="320">
        <v>0.03</v>
      </c>
      <c r="D448" s="291" t="s">
        <v>467</v>
      </c>
      <c r="E448" s="318">
        <f>E444*0.03</f>
        <v>29548.353697130868</v>
      </c>
      <c r="F448" s="253"/>
      <c r="G448" s="318">
        <f>G444*0.03</f>
        <v>28721.843023913469</v>
      </c>
      <c r="H448" s="253"/>
      <c r="I448" s="318">
        <f>I444*0.03</f>
        <v>27790.183889714765</v>
      </c>
      <c r="J448" s="253"/>
      <c r="K448" s="318">
        <f>K444*0.03</f>
        <v>27340.183889714765</v>
      </c>
      <c r="L448" s="253"/>
    </row>
    <row r="449" spans="2:19" ht="16.5" thickBot="1" x14ac:dyDescent="0.3">
      <c r="B449" s="291">
        <v>709</v>
      </c>
      <c r="C449" s="321">
        <f>C395</f>
        <v>1.5E-3</v>
      </c>
      <c r="D449" s="291" t="s">
        <v>468</v>
      </c>
      <c r="E449" s="318">
        <f>E444*0.0015</f>
        <v>1477.4176848565435</v>
      </c>
      <c r="F449" s="253"/>
      <c r="G449" s="318">
        <f>G444*0.0015</f>
        <v>1436.0921511956735</v>
      </c>
      <c r="H449" s="253"/>
      <c r="I449" s="318">
        <f>I444*0.0015</f>
        <v>1389.5091944857384</v>
      </c>
      <c r="J449" s="253"/>
      <c r="K449" s="318">
        <f>K444*0.0015</f>
        <v>1367.0091944857384</v>
      </c>
      <c r="L449" s="253"/>
    </row>
    <row r="450" spans="2:19" ht="16.5" thickBot="1" x14ac:dyDescent="0.3">
      <c r="B450" s="291">
        <v>713</v>
      </c>
      <c r="C450" s="322">
        <v>7.0000000000000001E-3</v>
      </c>
      <c r="D450" s="291" t="s">
        <v>469</v>
      </c>
      <c r="E450" s="318">
        <f>E444*0.007</f>
        <v>6894.6158626638698</v>
      </c>
      <c r="F450" s="253"/>
      <c r="G450" s="318">
        <f>G444*0.007</f>
        <v>6701.7633722464761</v>
      </c>
      <c r="H450" s="253"/>
      <c r="I450" s="318">
        <f>I444*0.007</f>
        <v>6484.3762409334458</v>
      </c>
      <c r="J450" s="253"/>
      <c r="K450" s="318">
        <f>K444*0.007</f>
        <v>6379.3762409334458</v>
      </c>
      <c r="L450" s="253"/>
    </row>
    <row r="451" spans="2:19" ht="16.5" thickBot="1" x14ac:dyDescent="0.3">
      <c r="B451" s="291">
        <v>787</v>
      </c>
      <c r="C451" s="320">
        <f>C368</f>
        <v>0.01</v>
      </c>
      <c r="D451" s="291" t="s">
        <v>470</v>
      </c>
      <c r="E451" s="318">
        <f>E444*0.01</f>
        <v>9849.4512323769577</v>
      </c>
      <c r="F451" s="253"/>
      <c r="G451" s="318">
        <f>G444*0.01</f>
        <v>9573.9476746378241</v>
      </c>
      <c r="H451" s="253"/>
      <c r="I451" s="318">
        <f>I444*0.01</f>
        <v>9263.3946299049221</v>
      </c>
      <c r="J451" s="253"/>
      <c r="K451" s="318">
        <f>K444*0.01</f>
        <v>9113.3946299049221</v>
      </c>
      <c r="L451" s="253"/>
    </row>
    <row r="452" spans="2:19" ht="16.5" thickBot="1" x14ac:dyDescent="0.3">
      <c r="B452" s="291"/>
      <c r="C452" s="291"/>
      <c r="D452" s="324" t="s">
        <v>480</v>
      </c>
      <c r="E452" s="325">
        <f>SUM(E447:E451)</f>
        <v>50232.201285122479</v>
      </c>
      <c r="F452" s="326"/>
      <c r="G452" s="325">
        <f>SUM(G447:G451)</f>
        <v>48827.133140652892</v>
      </c>
      <c r="H452" s="326"/>
      <c r="I452" s="325">
        <f>SUM(I447:I451)</f>
        <v>47243.312612515103</v>
      </c>
      <c r="J452" s="326"/>
      <c r="K452" s="325">
        <f>SUM(K447:K451)</f>
        <v>46478.312612515103</v>
      </c>
      <c r="L452" s="326"/>
    </row>
    <row r="453" spans="2:19" ht="16.5" thickBot="1" x14ac:dyDescent="0.3">
      <c r="B453" s="291"/>
      <c r="C453" s="291"/>
      <c r="D453" s="291"/>
      <c r="E453" s="327"/>
      <c r="F453" s="253"/>
      <c r="G453" s="327"/>
      <c r="H453" s="253"/>
      <c r="I453" s="327"/>
      <c r="J453" s="253"/>
      <c r="K453" s="327"/>
      <c r="L453" s="253"/>
    </row>
    <row r="454" spans="2:19" ht="21" thickBot="1" x14ac:dyDescent="0.35">
      <c r="B454" s="291"/>
      <c r="C454" s="291"/>
      <c r="D454" s="328" t="s">
        <v>473</v>
      </c>
      <c r="E454" s="359">
        <f>E444-E452</f>
        <v>934712.92195257323</v>
      </c>
      <c r="F454" s="360"/>
      <c r="G454" s="359">
        <f>G444-G452</f>
        <v>908567.63432312943</v>
      </c>
      <c r="H454" s="360"/>
      <c r="I454" s="359">
        <f>I444-I452</f>
        <v>879096.15037797717</v>
      </c>
      <c r="J454" s="360"/>
      <c r="K454" s="359">
        <f>K444-K452</f>
        <v>864861.15037797717</v>
      </c>
      <c r="L454" s="360"/>
    </row>
    <row r="455" spans="2:19" x14ac:dyDescent="0.25">
      <c r="D455" s="69"/>
      <c r="F455" s="121"/>
      <c r="H455" s="121"/>
      <c r="J455" s="121"/>
      <c r="L455" s="121"/>
    </row>
    <row r="456" spans="2:19" ht="24" thickBot="1" x14ac:dyDescent="0.4">
      <c r="B456" s="553" t="s">
        <v>493</v>
      </c>
      <c r="D456" s="398"/>
      <c r="E456" s="21">
        <v>46204</v>
      </c>
      <c r="F456" s="22">
        <f>aumentojulio26</f>
        <v>6.6049999999999942E-2</v>
      </c>
      <c r="G456" s="21">
        <v>46143</v>
      </c>
      <c r="H456" s="22">
        <v>3.5000000000000003E-2</v>
      </c>
      <c r="I456" s="21">
        <v>46054</v>
      </c>
      <c r="J456" s="22">
        <v>0</v>
      </c>
      <c r="K456" s="21">
        <v>45992</v>
      </c>
      <c r="L456" s="22"/>
    </row>
    <row r="457" spans="2:19" ht="16.5" thickTop="1" x14ac:dyDescent="0.25">
      <c r="B457" s="554" t="s">
        <v>494</v>
      </c>
      <c r="C457" s="555"/>
      <c r="D457" s="556"/>
      <c r="E457" s="557"/>
      <c r="F457" s="557"/>
      <c r="G457" s="557"/>
      <c r="H457" s="557"/>
      <c r="I457" s="557"/>
      <c r="J457" s="557"/>
      <c r="K457" s="557"/>
      <c r="L457" s="557"/>
      <c r="M457" s="557"/>
      <c r="N457" s="557"/>
      <c r="O457" s="557"/>
      <c r="P457" s="557"/>
      <c r="Q457" s="557"/>
      <c r="R457" s="557"/>
      <c r="S457" s="557"/>
    </row>
    <row r="458" spans="2:19" ht="15.75" x14ac:dyDescent="0.25">
      <c r="B458" s="558" t="s">
        <v>495</v>
      </c>
      <c r="C458" s="559"/>
      <c r="D458" s="560"/>
      <c r="E458" s="557"/>
      <c r="F458" s="557"/>
      <c r="G458" s="557"/>
      <c r="H458" s="557"/>
      <c r="I458" s="557"/>
      <c r="J458" s="557"/>
      <c r="K458" s="557"/>
      <c r="L458" s="557"/>
      <c r="M458" s="557"/>
      <c r="N458" s="557"/>
      <c r="O458" s="557"/>
      <c r="P458" s="557"/>
      <c r="Q458" s="557"/>
      <c r="R458" s="557"/>
      <c r="S458" s="557"/>
    </row>
    <row r="459" spans="2:19" ht="15.75" x14ac:dyDescent="0.25">
      <c r="B459" s="558" t="s">
        <v>496</v>
      </c>
      <c r="C459" s="559"/>
      <c r="D459" s="560"/>
      <c r="E459" s="557"/>
      <c r="F459" s="557"/>
      <c r="G459" s="557"/>
      <c r="H459" s="557"/>
      <c r="I459" s="557"/>
      <c r="J459" s="557"/>
      <c r="K459" s="557"/>
      <c r="L459" s="557"/>
      <c r="M459" s="557"/>
      <c r="N459" s="557"/>
      <c r="O459" s="557"/>
      <c r="P459" s="557"/>
      <c r="Q459" s="557"/>
      <c r="R459" s="557"/>
      <c r="S459" s="557"/>
    </row>
    <row r="460" spans="2:19" ht="15.75" x14ac:dyDescent="0.25">
      <c r="B460" s="561" t="s">
        <v>497</v>
      </c>
      <c r="C460" s="559"/>
      <c r="D460" s="560"/>
      <c r="E460" s="557"/>
      <c r="F460" s="557"/>
      <c r="G460" s="557"/>
      <c r="H460" s="557"/>
      <c r="I460" s="557"/>
      <c r="J460" s="557"/>
      <c r="K460" s="557"/>
      <c r="L460" s="557"/>
      <c r="M460" s="557"/>
      <c r="N460" s="557"/>
      <c r="O460" s="557"/>
      <c r="P460" s="557"/>
      <c r="Q460" s="557"/>
      <c r="R460" s="557"/>
      <c r="S460" s="557"/>
    </row>
    <row r="461" spans="2:19" ht="16.5" thickBot="1" x14ac:dyDescent="0.3">
      <c r="B461" s="562"/>
      <c r="C461" s="563"/>
      <c r="D461" s="564"/>
      <c r="E461" s="565"/>
      <c r="F461" s="565"/>
      <c r="G461" s="565"/>
      <c r="H461" s="565"/>
      <c r="I461" s="565"/>
      <c r="J461" s="565"/>
      <c r="K461" s="565"/>
      <c r="L461" s="565"/>
      <c r="M461" s="565"/>
      <c r="N461" s="565"/>
      <c r="O461" s="565"/>
      <c r="P461" s="565"/>
      <c r="Q461" s="565"/>
      <c r="R461" s="565"/>
      <c r="S461" s="565"/>
    </row>
    <row r="462" spans="2:19" ht="15.75" thickTop="1" x14ac:dyDescent="0.25"/>
  </sheetData>
  <sheetProtection algorithmName="SHA-512" hashValue="T6yNqP6JTv+nwxr579HhjuGAe/ay8TdQ1NP2QJnNFmfOJbJ7iPsp3+G925JVpye2jAcc4nW/zPG1p+Bn7pcEkg==" saltValue="z41cLj3jeFi6PTFiQk0yBg==" spinCount="100000" sheet="1" objects="1" scenarios="1"/>
  <mergeCells count="1">
    <mergeCell ref="B8:D8"/>
  </mergeCells>
  <hyperlinks>
    <hyperlink ref="B460" r:id="rId1" xr:uid="{C9667145-34F6-4D25-9A25-841EC84EC78C}"/>
    <hyperlink ref="B459" r:id="rId2" xr:uid="{F36CBD09-21C7-4C01-9878-D6A89334EB0C}"/>
  </hyperlinks>
  <pageMargins left="0.7" right="0.7" top="0.75" bottom="0.75" header="0.3" footer="0.3"/>
  <pageSetup paperSize="9" orientation="portrait" verticalDpi="0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591E-72EF-431F-8C96-BEBDB5BC6FCA}">
  <dimension ref="A1:K372"/>
  <sheetViews>
    <sheetView topLeftCell="A136" zoomScale="70" zoomScaleNormal="70" workbookViewId="0">
      <selection activeCell="K372" sqref="K3:K372"/>
    </sheetView>
  </sheetViews>
  <sheetFormatPr baseColWidth="10" defaultColWidth="86.42578125" defaultRowHeight="15" x14ac:dyDescent="0.25"/>
  <cols>
    <col min="1" max="1" width="12.140625" bestFit="1" customWidth="1"/>
    <col min="2" max="2" width="81.5703125" customWidth="1"/>
    <col min="3" max="3" width="13.85546875" bestFit="1" customWidth="1"/>
    <col min="4" max="4" width="16.85546875" bestFit="1" customWidth="1"/>
    <col min="5" max="5" width="11.5703125" bestFit="1" customWidth="1"/>
    <col min="6" max="6" width="15.28515625" bestFit="1" customWidth="1"/>
    <col min="7" max="7" width="14.85546875" bestFit="1" customWidth="1"/>
    <col min="8" max="8" width="9.140625" bestFit="1" customWidth="1"/>
    <col min="9" max="9" width="7.85546875" bestFit="1" customWidth="1"/>
    <col min="10" max="10" width="6.42578125" bestFit="1" customWidth="1"/>
    <col min="11" max="11" width="13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1" t="s">
        <v>5</v>
      </c>
      <c r="G1" s="14" t="s">
        <v>6</v>
      </c>
      <c r="H1" s="1" t="s">
        <v>7</v>
      </c>
      <c r="I1" s="15" t="s">
        <v>8</v>
      </c>
      <c r="J1" s="1" t="s">
        <v>9</v>
      </c>
      <c r="K1" s="1" t="s">
        <v>10</v>
      </c>
    </row>
    <row r="2" spans="1:11" x14ac:dyDescent="0.25">
      <c r="A2" s="1"/>
      <c r="B2" s="16"/>
      <c r="C2" s="17"/>
      <c r="D2" s="14"/>
      <c r="E2" s="1"/>
      <c r="F2" s="1"/>
      <c r="G2" s="14"/>
      <c r="H2" s="1" t="s">
        <v>11</v>
      </c>
      <c r="I2" s="15" t="s">
        <v>12</v>
      </c>
      <c r="J2" s="1" t="s">
        <v>13</v>
      </c>
      <c r="K2" s="17"/>
    </row>
    <row r="3" spans="1:11" x14ac:dyDescent="0.25">
      <c r="A3" s="4">
        <v>400</v>
      </c>
      <c r="B3" s="18" t="s">
        <v>14</v>
      </c>
      <c r="C3" s="2">
        <v>2490</v>
      </c>
      <c r="D3" s="3">
        <v>0</v>
      </c>
      <c r="E3" s="4">
        <f t="shared" ref="E3:E66" si="0">C3+D3</f>
        <v>2490</v>
      </c>
      <c r="F3" s="3"/>
      <c r="G3" s="5"/>
      <c r="H3" s="4"/>
      <c r="I3" s="2"/>
      <c r="J3" s="6"/>
      <c r="K3" s="7"/>
    </row>
    <row r="4" spans="1:11" x14ac:dyDescent="0.25">
      <c r="A4" s="4">
        <v>401</v>
      </c>
      <c r="B4" s="18" t="s">
        <v>15</v>
      </c>
      <c r="C4" s="2">
        <v>1610</v>
      </c>
      <c r="D4" s="3">
        <v>87</v>
      </c>
      <c r="E4" s="4">
        <f t="shared" si="0"/>
        <v>1697</v>
      </c>
      <c r="F4" s="3"/>
      <c r="G4" s="5"/>
      <c r="H4" s="4"/>
      <c r="I4" s="2"/>
      <c r="J4" s="6"/>
      <c r="K4" s="7"/>
    </row>
    <row r="5" spans="1:11" x14ac:dyDescent="0.25">
      <c r="A5" s="4">
        <v>403</v>
      </c>
      <c r="B5" s="18" t="s">
        <v>16</v>
      </c>
      <c r="C5" s="2">
        <v>1680</v>
      </c>
      <c r="D5" s="3">
        <v>77</v>
      </c>
      <c r="E5" s="4">
        <f t="shared" si="0"/>
        <v>1757</v>
      </c>
      <c r="F5" s="3"/>
      <c r="G5" s="5"/>
      <c r="H5" s="4"/>
      <c r="I5" s="2">
        <v>830</v>
      </c>
      <c r="J5" s="6"/>
      <c r="K5" s="7"/>
    </row>
    <row r="6" spans="1:11" x14ac:dyDescent="0.25">
      <c r="A6" s="4">
        <v>404</v>
      </c>
      <c r="B6" s="18" t="s">
        <v>17</v>
      </c>
      <c r="C6" s="2">
        <v>2000</v>
      </c>
      <c r="D6" s="3">
        <v>36</v>
      </c>
      <c r="E6" s="4">
        <f t="shared" si="0"/>
        <v>2036</v>
      </c>
      <c r="F6" s="3"/>
      <c r="G6" s="5"/>
      <c r="H6" s="4"/>
      <c r="I6" s="2"/>
      <c r="J6" s="6"/>
      <c r="K6" s="7"/>
    </row>
    <row r="7" spans="1:11" x14ac:dyDescent="0.25">
      <c r="A7" s="4">
        <v>405</v>
      </c>
      <c r="B7" s="18" t="s">
        <v>18</v>
      </c>
      <c r="C7" s="2">
        <v>2840</v>
      </c>
      <c r="D7" s="3">
        <v>0</v>
      </c>
      <c r="E7" s="4">
        <f t="shared" si="0"/>
        <v>2840</v>
      </c>
      <c r="F7" s="3"/>
      <c r="G7" s="5"/>
      <c r="H7" s="4"/>
      <c r="I7" s="2"/>
      <c r="J7" s="6"/>
      <c r="K7" s="7"/>
    </row>
    <row r="8" spans="1:11" x14ac:dyDescent="0.25">
      <c r="A8" s="4">
        <v>406</v>
      </c>
      <c r="B8" s="18" t="s">
        <v>19</v>
      </c>
      <c r="C8" s="2">
        <v>1840</v>
      </c>
      <c r="D8" s="3">
        <v>57</v>
      </c>
      <c r="E8" s="4">
        <f t="shared" si="0"/>
        <v>1897</v>
      </c>
      <c r="F8" s="3"/>
      <c r="G8" s="5"/>
      <c r="H8" s="4"/>
      <c r="I8" s="2"/>
      <c r="J8" s="6"/>
      <c r="K8" s="7"/>
    </row>
    <row r="9" spans="1:11" x14ac:dyDescent="0.25">
      <c r="A9" s="4">
        <v>407</v>
      </c>
      <c r="B9" s="18" t="s">
        <v>20</v>
      </c>
      <c r="C9" s="2">
        <v>1680</v>
      </c>
      <c r="D9" s="3">
        <v>77</v>
      </c>
      <c r="E9" s="4">
        <f t="shared" si="0"/>
        <v>1757</v>
      </c>
      <c r="F9" s="3"/>
      <c r="G9" s="5"/>
      <c r="H9" s="4"/>
      <c r="I9" s="2"/>
      <c r="J9" s="6"/>
      <c r="K9" s="7"/>
    </row>
    <row r="10" spans="1:11" x14ac:dyDescent="0.25">
      <c r="A10" s="4">
        <v>408</v>
      </c>
      <c r="B10" s="18" t="s">
        <v>21</v>
      </c>
      <c r="C10" s="2">
        <v>2510</v>
      </c>
      <c r="D10" s="3">
        <v>0</v>
      </c>
      <c r="E10" s="4">
        <f t="shared" si="0"/>
        <v>2510</v>
      </c>
      <c r="F10" s="3"/>
      <c r="G10" s="5"/>
      <c r="H10" s="4"/>
      <c r="I10" s="2"/>
      <c r="J10" s="6"/>
      <c r="K10" s="7"/>
    </row>
    <row r="11" spans="1:11" x14ac:dyDescent="0.25">
      <c r="A11" s="4">
        <v>409</v>
      </c>
      <c r="B11" s="18" t="s">
        <v>22</v>
      </c>
      <c r="C11" s="2">
        <v>2000</v>
      </c>
      <c r="D11" s="3">
        <v>36</v>
      </c>
      <c r="E11" s="4">
        <f t="shared" si="0"/>
        <v>2036</v>
      </c>
      <c r="F11" s="3"/>
      <c r="G11" s="5"/>
      <c r="H11" s="4"/>
      <c r="I11" s="2">
        <v>830</v>
      </c>
      <c r="J11" s="6"/>
      <c r="K11" s="7"/>
    </row>
    <row r="12" spans="1:11" x14ac:dyDescent="0.25">
      <c r="A12" s="4">
        <v>410</v>
      </c>
      <c r="B12" s="18" t="s">
        <v>23</v>
      </c>
      <c r="C12" s="2">
        <v>1740</v>
      </c>
      <c r="D12" s="3">
        <v>75</v>
      </c>
      <c r="E12" s="4">
        <f t="shared" si="0"/>
        <v>1815</v>
      </c>
      <c r="F12" s="3"/>
      <c r="G12" s="5"/>
      <c r="H12" s="4"/>
      <c r="I12" s="2"/>
      <c r="J12" s="6"/>
      <c r="K12" s="7"/>
    </row>
    <row r="13" spans="1:11" x14ac:dyDescent="0.25">
      <c r="A13" s="4">
        <v>411</v>
      </c>
      <c r="B13" s="18" t="s">
        <v>24</v>
      </c>
      <c r="C13" s="2">
        <v>2300</v>
      </c>
      <c r="D13" s="3">
        <v>0</v>
      </c>
      <c r="E13" s="4">
        <f t="shared" si="0"/>
        <v>2300</v>
      </c>
      <c r="F13" s="3"/>
      <c r="G13" s="5"/>
      <c r="H13" s="4"/>
      <c r="I13" s="2"/>
      <c r="J13" s="6"/>
      <c r="K13" s="7"/>
    </row>
    <row r="14" spans="1:11" x14ac:dyDescent="0.25">
      <c r="A14" s="4">
        <v>412</v>
      </c>
      <c r="B14" s="18" t="s">
        <v>25</v>
      </c>
      <c r="C14" s="2">
        <v>1690</v>
      </c>
      <c r="D14" s="3">
        <v>76</v>
      </c>
      <c r="E14" s="4">
        <f t="shared" si="0"/>
        <v>1766</v>
      </c>
      <c r="F14" s="3"/>
      <c r="G14" s="5"/>
      <c r="H14" s="4"/>
      <c r="I14" s="2"/>
      <c r="J14" s="6"/>
      <c r="K14" s="7"/>
    </row>
    <row r="15" spans="1:11" x14ac:dyDescent="0.25">
      <c r="A15" s="4">
        <v>414</v>
      </c>
      <c r="B15" s="18" t="s">
        <v>26</v>
      </c>
      <c r="C15" s="2">
        <v>1340</v>
      </c>
      <c r="D15" s="3">
        <v>122</v>
      </c>
      <c r="E15" s="4">
        <f t="shared" si="0"/>
        <v>1462</v>
      </c>
      <c r="F15" s="3"/>
      <c r="G15" s="5"/>
      <c r="H15" s="4"/>
      <c r="I15" s="2"/>
      <c r="J15" s="6"/>
      <c r="K15" s="7"/>
    </row>
    <row r="16" spans="1:11" x14ac:dyDescent="0.25">
      <c r="A16" s="4">
        <v>415</v>
      </c>
      <c r="B16" s="18" t="s">
        <v>27</v>
      </c>
      <c r="C16" s="2">
        <v>1500</v>
      </c>
      <c r="D16" s="3">
        <v>101</v>
      </c>
      <c r="E16" s="4">
        <f t="shared" si="0"/>
        <v>1601</v>
      </c>
      <c r="F16" s="3"/>
      <c r="G16" s="5"/>
      <c r="H16" s="4"/>
      <c r="I16" s="2"/>
      <c r="J16" s="6"/>
      <c r="K16" s="7"/>
    </row>
    <row r="17" spans="1:11" x14ac:dyDescent="0.25">
      <c r="A17" s="4">
        <v>416</v>
      </c>
      <c r="B17" s="18" t="s">
        <v>28</v>
      </c>
      <c r="C17" s="2">
        <v>776.4</v>
      </c>
      <c r="D17" s="3">
        <v>0</v>
      </c>
      <c r="E17" s="4">
        <f t="shared" si="0"/>
        <v>776.4</v>
      </c>
      <c r="F17" s="3"/>
      <c r="G17" s="5"/>
      <c r="H17" s="4"/>
      <c r="I17" s="2"/>
      <c r="J17" s="6"/>
      <c r="K17" s="7"/>
    </row>
    <row r="18" spans="1:11" x14ac:dyDescent="0.25">
      <c r="A18" s="4">
        <v>417</v>
      </c>
      <c r="B18" s="18" t="s">
        <v>29</v>
      </c>
      <c r="C18" s="2">
        <v>971</v>
      </c>
      <c r="D18" s="3">
        <v>414.7</v>
      </c>
      <c r="E18" s="4">
        <f t="shared" si="0"/>
        <v>1385.7</v>
      </c>
      <c r="F18" s="3"/>
      <c r="G18" s="5"/>
      <c r="H18" s="4"/>
      <c r="I18" s="2"/>
      <c r="J18" s="6"/>
      <c r="K18" s="7"/>
    </row>
    <row r="19" spans="1:11" x14ac:dyDescent="0.25">
      <c r="A19" s="4">
        <v>418</v>
      </c>
      <c r="B19" s="18" t="s">
        <v>30</v>
      </c>
      <c r="C19" s="2">
        <v>1552.8</v>
      </c>
      <c r="D19" s="3">
        <v>0</v>
      </c>
      <c r="E19" s="4">
        <f t="shared" si="0"/>
        <v>1552.8</v>
      </c>
      <c r="F19" s="3"/>
      <c r="G19" s="5"/>
      <c r="H19" s="4"/>
      <c r="I19" s="2"/>
      <c r="J19" s="6"/>
      <c r="K19" s="7"/>
    </row>
    <row r="20" spans="1:11" x14ac:dyDescent="0.25">
      <c r="A20" s="4">
        <v>419</v>
      </c>
      <c r="B20" s="18" t="s">
        <v>31</v>
      </c>
      <c r="C20" s="2">
        <v>776.4</v>
      </c>
      <c r="D20" s="3">
        <v>0</v>
      </c>
      <c r="E20" s="4">
        <f t="shared" si="0"/>
        <v>776.4</v>
      </c>
      <c r="F20" s="3"/>
      <c r="G20" s="5"/>
      <c r="H20" s="4"/>
      <c r="I20" s="2"/>
      <c r="J20" s="6"/>
      <c r="K20" s="7"/>
    </row>
    <row r="21" spans="1:11" x14ac:dyDescent="0.25">
      <c r="A21" s="4">
        <v>420</v>
      </c>
      <c r="B21" s="18" t="s">
        <v>32</v>
      </c>
      <c r="C21" s="2">
        <v>1164.5999999999999</v>
      </c>
      <c r="D21" s="3">
        <v>0</v>
      </c>
      <c r="E21" s="4">
        <f t="shared" si="0"/>
        <v>1164.5999999999999</v>
      </c>
      <c r="F21" s="3"/>
      <c r="G21" s="5"/>
      <c r="H21" s="4"/>
      <c r="I21" s="2"/>
      <c r="J21" s="6"/>
      <c r="K21" s="7"/>
    </row>
    <row r="22" spans="1:11" x14ac:dyDescent="0.25">
      <c r="A22" s="4">
        <v>421</v>
      </c>
      <c r="B22" s="18" t="s">
        <v>33</v>
      </c>
      <c r="C22" s="2">
        <v>1340</v>
      </c>
      <c r="D22" s="3">
        <v>122</v>
      </c>
      <c r="E22" s="4">
        <f t="shared" si="0"/>
        <v>1462</v>
      </c>
      <c r="F22" s="3"/>
      <c r="G22" s="5"/>
      <c r="H22" s="4"/>
      <c r="I22" s="2"/>
      <c r="J22" s="6"/>
      <c r="K22" s="7"/>
    </row>
    <row r="23" spans="1:11" x14ac:dyDescent="0.25">
      <c r="A23" s="4">
        <v>422</v>
      </c>
      <c r="B23" s="18" t="s">
        <v>34</v>
      </c>
      <c r="C23" s="2">
        <v>971</v>
      </c>
      <c r="D23" s="3">
        <v>414.7</v>
      </c>
      <c r="E23" s="4">
        <f t="shared" si="0"/>
        <v>1385.7</v>
      </c>
      <c r="F23" s="3"/>
      <c r="G23" s="5"/>
      <c r="H23" s="4"/>
      <c r="I23" s="2"/>
      <c r="J23" s="6"/>
      <c r="K23" s="7"/>
    </row>
    <row r="24" spans="1:11" x14ac:dyDescent="0.25">
      <c r="A24" s="4">
        <v>424</v>
      </c>
      <c r="B24" s="18" t="s">
        <v>35</v>
      </c>
      <c r="C24" s="2">
        <v>1370</v>
      </c>
      <c r="D24" s="3">
        <v>118</v>
      </c>
      <c r="E24" s="4">
        <f t="shared" si="0"/>
        <v>1488</v>
      </c>
      <c r="F24" s="3"/>
      <c r="G24" s="5"/>
      <c r="H24" s="4"/>
      <c r="I24" s="2"/>
      <c r="J24" s="6"/>
      <c r="K24" s="7"/>
    </row>
    <row r="25" spans="1:11" x14ac:dyDescent="0.25">
      <c r="A25" s="4">
        <v>425</v>
      </c>
      <c r="B25" s="18" t="s">
        <v>36</v>
      </c>
      <c r="C25" s="2">
        <v>1580</v>
      </c>
      <c r="D25" s="3">
        <v>90</v>
      </c>
      <c r="E25" s="4">
        <f t="shared" si="0"/>
        <v>1670</v>
      </c>
      <c r="F25" s="3"/>
      <c r="G25" s="5"/>
      <c r="H25" s="4"/>
      <c r="I25" s="2"/>
      <c r="J25" s="6"/>
      <c r="K25" s="7"/>
    </row>
    <row r="26" spans="1:11" x14ac:dyDescent="0.25">
      <c r="A26" s="4">
        <v>426</v>
      </c>
      <c r="B26" s="18" t="s">
        <v>37</v>
      </c>
      <c r="C26" s="2">
        <v>1340</v>
      </c>
      <c r="D26" s="3">
        <v>122</v>
      </c>
      <c r="E26" s="4">
        <f t="shared" si="0"/>
        <v>1462</v>
      </c>
      <c r="F26" s="3"/>
      <c r="G26" s="5"/>
      <c r="H26" s="4"/>
      <c r="I26" s="2"/>
      <c r="J26" s="6"/>
      <c r="K26" s="7"/>
    </row>
    <row r="27" spans="1:11" x14ac:dyDescent="0.25">
      <c r="A27" s="4">
        <v>427</v>
      </c>
      <c r="B27" s="18" t="s">
        <v>38</v>
      </c>
      <c r="C27" s="2">
        <v>1300</v>
      </c>
      <c r="D27" s="3">
        <v>127</v>
      </c>
      <c r="E27" s="4">
        <f t="shared" si="0"/>
        <v>1427</v>
      </c>
      <c r="F27" s="3"/>
      <c r="G27" s="5"/>
      <c r="H27" s="4"/>
      <c r="I27" s="2"/>
      <c r="J27" s="6"/>
      <c r="K27" s="7"/>
    </row>
    <row r="28" spans="1:11" x14ac:dyDescent="0.25">
      <c r="A28" s="4">
        <v>432</v>
      </c>
      <c r="B28" s="18" t="s">
        <v>39</v>
      </c>
      <c r="C28" s="2">
        <v>941</v>
      </c>
      <c r="D28" s="3">
        <v>414.7</v>
      </c>
      <c r="E28" s="4">
        <f t="shared" si="0"/>
        <v>1355.7</v>
      </c>
      <c r="F28" s="3"/>
      <c r="G28" s="5"/>
      <c r="H28" s="4"/>
      <c r="I28" s="2"/>
      <c r="J28" s="6"/>
      <c r="K28" s="7"/>
    </row>
    <row r="29" spans="1:11" x14ac:dyDescent="0.25">
      <c r="A29" s="4">
        <v>433</v>
      </c>
      <c r="B29" s="18" t="s">
        <v>40</v>
      </c>
      <c r="C29" s="2">
        <v>941</v>
      </c>
      <c r="D29" s="3">
        <v>414.7</v>
      </c>
      <c r="E29" s="4">
        <f t="shared" si="0"/>
        <v>1355.7</v>
      </c>
      <c r="F29" s="3"/>
      <c r="G29" s="5"/>
      <c r="H29" s="4"/>
      <c r="I29" s="2"/>
      <c r="J29" s="6"/>
      <c r="K29" s="7"/>
    </row>
    <row r="30" spans="1:11" x14ac:dyDescent="0.25">
      <c r="A30" s="4">
        <v>438</v>
      </c>
      <c r="B30" s="18" t="s">
        <v>41</v>
      </c>
      <c r="C30" s="2">
        <v>906</v>
      </c>
      <c r="D30" s="3">
        <v>414.7</v>
      </c>
      <c r="E30" s="4">
        <f t="shared" si="0"/>
        <v>1320.7</v>
      </c>
      <c r="F30" s="3"/>
      <c r="G30" s="5"/>
      <c r="H30" s="4"/>
      <c r="I30" s="2"/>
      <c r="J30" s="6"/>
      <c r="K30" s="7"/>
    </row>
    <row r="31" spans="1:11" x14ac:dyDescent="0.25">
      <c r="A31" s="4">
        <v>440</v>
      </c>
      <c r="B31" s="18" t="s">
        <v>42</v>
      </c>
      <c r="C31" s="2">
        <v>1680</v>
      </c>
      <c r="D31" s="3">
        <v>77</v>
      </c>
      <c r="E31" s="4">
        <f t="shared" si="0"/>
        <v>1757</v>
      </c>
      <c r="F31" s="3"/>
      <c r="G31" s="5"/>
      <c r="H31" s="4"/>
      <c r="I31" s="2"/>
      <c r="J31" s="6"/>
      <c r="K31" s="7"/>
    </row>
    <row r="32" spans="1:11" x14ac:dyDescent="0.25">
      <c r="A32" s="4">
        <v>441</v>
      </c>
      <c r="B32" s="18" t="s">
        <v>43</v>
      </c>
      <c r="C32" s="2">
        <v>2275</v>
      </c>
      <c r="D32" s="3">
        <v>0</v>
      </c>
      <c r="E32" s="4">
        <f t="shared" si="0"/>
        <v>2275</v>
      </c>
      <c r="F32" s="3"/>
      <c r="G32" s="5"/>
      <c r="H32" s="4"/>
      <c r="I32" s="2"/>
      <c r="J32" s="6"/>
      <c r="K32" s="7"/>
    </row>
    <row r="33" spans="1:11" x14ac:dyDescent="0.25">
      <c r="A33" s="4">
        <v>443</v>
      </c>
      <c r="B33" s="18" t="s">
        <v>44</v>
      </c>
      <c r="C33" s="2">
        <v>1830</v>
      </c>
      <c r="D33" s="3">
        <v>58</v>
      </c>
      <c r="E33" s="4">
        <f t="shared" si="0"/>
        <v>1888</v>
      </c>
      <c r="F33" s="3"/>
      <c r="G33" s="5"/>
      <c r="H33" s="4"/>
      <c r="I33" s="2"/>
      <c r="J33" s="6"/>
      <c r="K33" s="7"/>
    </row>
    <row r="34" spans="1:11" x14ac:dyDescent="0.25">
      <c r="A34" s="4">
        <v>444</v>
      </c>
      <c r="B34" s="18" t="s">
        <v>45</v>
      </c>
      <c r="C34" s="2">
        <v>1500</v>
      </c>
      <c r="D34" s="3">
        <v>101</v>
      </c>
      <c r="E34" s="4">
        <f t="shared" si="0"/>
        <v>1601</v>
      </c>
      <c r="F34" s="3"/>
      <c r="G34" s="5"/>
      <c r="H34" s="4"/>
      <c r="I34" s="2">
        <v>750</v>
      </c>
      <c r="J34" s="6"/>
      <c r="K34" s="7"/>
    </row>
    <row r="35" spans="1:11" x14ac:dyDescent="0.25">
      <c r="A35" s="4">
        <v>445</v>
      </c>
      <c r="B35" s="18" t="s">
        <v>46</v>
      </c>
      <c r="C35" s="2">
        <v>1750</v>
      </c>
      <c r="D35" s="3">
        <v>68</v>
      </c>
      <c r="E35" s="4">
        <f t="shared" si="0"/>
        <v>1818</v>
      </c>
      <c r="F35" s="3"/>
      <c r="G35" s="5"/>
      <c r="H35" s="4"/>
      <c r="I35" s="2">
        <v>750</v>
      </c>
      <c r="J35" s="6"/>
      <c r="K35" s="7"/>
    </row>
    <row r="36" spans="1:11" x14ac:dyDescent="0.25">
      <c r="A36" s="4">
        <v>450</v>
      </c>
      <c r="B36" s="18" t="s">
        <v>47</v>
      </c>
      <c r="C36" s="2">
        <v>2329.1999999999998</v>
      </c>
      <c r="D36" s="3">
        <v>0</v>
      </c>
      <c r="E36" s="4">
        <f t="shared" si="0"/>
        <v>2329.1999999999998</v>
      </c>
      <c r="F36" s="3"/>
      <c r="G36" s="5"/>
      <c r="H36" s="4"/>
      <c r="I36" s="2"/>
      <c r="J36" s="6"/>
      <c r="K36" s="7"/>
    </row>
    <row r="37" spans="1:11" x14ac:dyDescent="0.25">
      <c r="A37" s="4">
        <v>454</v>
      </c>
      <c r="B37" s="18" t="s">
        <v>48</v>
      </c>
      <c r="C37" s="2">
        <v>1690</v>
      </c>
      <c r="D37" s="3">
        <v>76</v>
      </c>
      <c r="E37" s="4">
        <f t="shared" si="0"/>
        <v>1766</v>
      </c>
      <c r="F37" s="3"/>
      <c r="G37" s="5"/>
      <c r="H37" s="4"/>
      <c r="I37" s="2"/>
      <c r="J37" s="6"/>
      <c r="K37" s="7"/>
    </row>
    <row r="38" spans="1:11" x14ac:dyDescent="0.25">
      <c r="A38" s="4">
        <v>455</v>
      </c>
      <c r="B38" s="18" t="s">
        <v>49</v>
      </c>
      <c r="C38" s="2">
        <v>922</v>
      </c>
      <c r="D38" s="3">
        <v>414.7</v>
      </c>
      <c r="E38" s="4">
        <f t="shared" si="0"/>
        <v>1336.7</v>
      </c>
      <c r="F38" s="3"/>
      <c r="G38" s="5"/>
      <c r="H38" s="4"/>
      <c r="I38" s="2"/>
      <c r="J38" s="6"/>
      <c r="K38" s="7"/>
    </row>
    <row r="39" spans="1:11" x14ac:dyDescent="0.25">
      <c r="A39" s="4">
        <v>456</v>
      </c>
      <c r="B39" s="18" t="s">
        <v>50</v>
      </c>
      <c r="C39" s="2">
        <v>971</v>
      </c>
      <c r="D39" s="3">
        <v>414.7</v>
      </c>
      <c r="E39" s="4">
        <f t="shared" si="0"/>
        <v>1385.7</v>
      </c>
      <c r="F39" s="3"/>
      <c r="G39" s="5"/>
      <c r="H39" s="4"/>
      <c r="I39" s="2"/>
      <c r="J39" s="6"/>
      <c r="K39" s="7"/>
    </row>
    <row r="40" spans="1:11" x14ac:dyDescent="0.25">
      <c r="A40" s="4">
        <v>457</v>
      </c>
      <c r="B40" s="18" t="s">
        <v>51</v>
      </c>
      <c r="C40" s="2">
        <v>2100</v>
      </c>
      <c r="D40" s="3">
        <v>23</v>
      </c>
      <c r="E40" s="4">
        <f t="shared" si="0"/>
        <v>2123</v>
      </c>
      <c r="F40" s="3"/>
      <c r="G40" s="5"/>
      <c r="H40" s="4"/>
      <c r="I40" s="2"/>
      <c r="J40" s="6"/>
      <c r="K40" s="7"/>
    </row>
    <row r="41" spans="1:11" x14ac:dyDescent="0.25">
      <c r="A41" s="4">
        <v>460</v>
      </c>
      <c r="B41" s="18" t="s">
        <v>52</v>
      </c>
      <c r="C41" s="2">
        <v>2840</v>
      </c>
      <c r="D41" s="3">
        <v>0</v>
      </c>
      <c r="E41" s="4">
        <f t="shared" si="0"/>
        <v>2840</v>
      </c>
      <c r="F41" s="3"/>
      <c r="G41" s="5"/>
      <c r="H41" s="4"/>
      <c r="I41" s="2"/>
      <c r="J41" s="6"/>
      <c r="K41" s="7"/>
    </row>
    <row r="42" spans="1:11" x14ac:dyDescent="0.25">
      <c r="A42" s="4">
        <v>461</v>
      </c>
      <c r="B42" s="18" t="s">
        <v>53</v>
      </c>
      <c r="C42" s="2">
        <v>2220</v>
      </c>
      <c r="D42" s="3">
        <v>7</v>
      </c>
      <c r="E42" s="4">
        <f t="shared" si="0"/>
        <v>2227</v>
      </c>
      <c r="F42" s="3">
        <v>521.4</v>
      </c>
      <c r="G42" s="5">
        <v>521.4</v>
      </c>
      <c r="H42" s="4"/>
      <c r="I42" s="2"/>
      <c r="J42" s="6"/>
      <c r="K42" s="7"/>
    </row>
    <row r="43" spans="1:11" x14ac:dyDescent="0.25">
      <c r="A43" s="4">
        <v>465</v>
      </c>
      <c r="B43" s="18" t="s">
        <v>54</v>
      </c>
      <c r="C43" s="2">
        <v>1850</v>
      </c>
      <c r="D43" s="3">
        <v>55</v>
      </c>
      <c r="E43" s="4">
        <f t="shared" si="0"/>
        <v>1905</v>
      </c>
      <c r="F43" s="3"/>
      <c r="G43" s="5"/>
      <c r="H43" s="4"/>
      <c r="I43" s="2"/>
      <c r="J43" s="6"/>
      <c r="K43" s="7"/>
    </row>
    <row r="44" spans="1:11" x14ac:dyDescent="0.25">
      <c r="A44" s="4">
        <v>468</v>
      </c>
      <c r="B44" s="18" t="s">
        <v>55</v>
      </c>
      <c r="C44" s="2">
        <v>2100</v>
      </c>
      <c r="D44" s="3">
        <v>23</v>
      </c>
      <c r="E44" s="4">
        <f t="shared" si="0"/>
        <v>2123</v>
      </c>
      <c r="F44" s="3"/>
      <c r="G44" s="5"/>
      <c r="H44" s="4"/>
      <c r="I44" s="2"/>
      <c r="J44" s="6"/>
      <c r="K44" s="7"/>
    </row>
    <row r="45" spans="1:11" x14ac:dyDescent="0.25">
      <c r="A45" s="4">
        <v>469</v>
      </c>
      <c r="B45" s="18" t="s">
        <v>56</v>
      </c>
      <c r="C45" s="2">
        <v>1740</v>
      </c>
      <c r="D45" s="3">
        <v>75</v>
      </c>
      <c r="E45" s="4">
        <f t="shared" si="0"/>
        <v>1815</v>
      </c>
      <c r="F45" s="3"/>
      <c r="G45" s="5"/>
      <c r="H45" s="4"/>
      <c r="I45" s="2">
        <v>750</v>
      </c>
      <c r="J45" s="6"/>
      <c r="K45" s="7"/>
    </row>
    <row r="46" spans="1:11" x14ac:dyDescent="0.25">
      <c r="A46" s="4">
        <v>470</v>
      </c>
      <c r="B46" s="18" t="s">
        <v>57</v>
      </c>
      <c r="C46" s="2">
        <v>1580</v>
      </c>
      <c r="D46" s="3">
        <v>90</v>
      </c>
      <c r="E46" s="4">
        <f t="shared" si="0"/>
        <v>1670</v>
      </c>
      <c r="F46" s="3">
        <v>347.6</v>
      </c>
      <c r="G46" s="5" t="s">
        <v>58</v>
      </c>
      <c r="H46" s="4"/>
      <c r="I46" s="2"/>
      <c r="J46" s="6"/>
      <c r="K46" s="7"/>
    </row>
    <row r="47" spans="1:11" x14ac:dyDescent="0.25">
      <c r="A47" s="4">
        <v>472</v>
      </c>
      <c r="B47" s="18" t="s">
        <v>59</v>
      </c>
      <c r="C47" s="2">
        <v>1564</v>
      </c>
      <c r="D47" s="3">
        <v>93</v>
      </c>
      <c r="E47" s="4">
        <f t="shared" si="0"/>
        <v>1657</v>
      </c>
      <c r="F47" s="3"/>
      <c r="G47" s="5"/>
      <c r="H47" s="4"/>
      <c r="I47" s="2"/>
      <c r="J47" s="6"/>
      <c r="K47" s="7"/>
    </row>
    <row r="48" spans="1:11" x14ac:dyDescent="0.25">
      <c r="A48" s="4">
        <v>480</v>
      </c>
      <c r="B48" s="18" t="s">
        <v>60</v>
      </c>
      <c r="C48" s="2">
        <v>971</v>
      </c>
      <c r="D48" s="3">
        <v>414.7</v>
      </c>
      <c r="E48" s="4">
        <f t="shared" si="0"/>
        <v>1385.7</v>
      </c>
      <c r="F48" s="3"/>
      <c r="G48" s="5"/>
      <c r="H48" s="4"/>
      <c r="I48" s="2"/>
      <c r="J48" s="6"/>
      <c r="K48" s="7"/>
    </row>
    <row r="49" spans="1:11" x14ac:dyDescent="0.25">
      <c r="A49" s="4">
        <v>481</v>
      </c>
      <c r="B49" s="18" t="s">
        <v>61</v>
      </c>
      <c r="C49" s="2">
        <v>1250</v>
      </c>
      <c r="D49" s="3">
        <v>134</v>
      </c>
      <c r="E49" s="4">
        <f t="shared" si="0"/>
        <v>1384</v>
      </c>
      <c r="F49" s="3"/>
      <c r="G49" s="5"/>
      <c r="H49" s="4"/>
      <c r="I49" s="2"/>
      <c r="J49" s="6"/>
      <c r="K49" s="7"/>
    </row>
    <row r="50" spans="1:11" x14ac:dyDescent="0.25">
      <c r="A50" s="4">
        <v>485</v>
      </c>
      <c r="B50" s="18" t="s">
        <v>62</v>
      </c>
      <c r="C50" s="2">
        <v>1850</v>
      </c>
      <c r="D50" s="3">
        <v>55</v>
      </c>
      <c r="E50" s="4">
        <f t="shared" si="0"/>
        <v>1905</v>
      </c>
      <c r="F50" s="3"/>
      <c r="G50" s="5"/>
      <c r="H50" s="4"/>
      <c r="I50" s="2"/>
      <c r="J50" s="6"/>
      <c r="K50" s="7"/>
    </row>
    <row r="51" spans="1:11" x14ac:dyDescent="0.25">
      <c r="A51" s="4">
        <v>490</v>
      </c>
      <c r="B51" s="18" t="s">
        <v>63</v>
      </c>
      <c r="C51" s="2">
        <v>1750</v>
      </c>
      <c r="D51" s="3">
        <v>68</v>
      </c>
      <c r="E51" s="4">
        <f t="shared" si="0"/>
        <v>1818</v>
      </c>
      <c r="F51" s="3"/>
      <c r="G51" s="5"/>
      <c r="H51" s="4"/>
      <c r="I51" s="2"/>
      <c r="J51" s="6"/>
      <c r="K51" s="7"/>
    </row>
    <row r="52" spans="1:11" x14ac:dyDescent="0.25">
      <c r="A52" s="4">
        <v>603</v>
      </c>
      <c r="B52" s="18" t="s">
        <v>64</v>
      </c>
      <c r="C52" s="2">
        <v>2913</v>
      </c>
      <c r="D52" s="3">
        <v>0</v>
      </c>
      <c r="E52" s="4">
        <f t="shared" si="0"/>
        <v>2913</v>
      </c>
      <c r="F52" s="3">
        <v>776</v>
      </c>
      <c r="G52" s="5" t="s">
        <v>65</v>
      </c>
      <c r="H52" s="4"/>
      <c r="I52" s="2"/>
      <c r="J52" s="6"/>
      <c r="K52" s="7"/>
    </row>
    <row r="53" spans="1:11" x14ac:dyDescent="0.25">
      <c r="A53" s="4">
        <v>604</v>
      </c>
      <c r="B53" s="18" t="s">
        <v>66</v>
      </c>
      <c r="C53" s="2">
        <v>1690</v>
      </c>
      <c r="D53" s="3">
        <v>76</v>
      </c>
      <c r="E53" s="4">
        <f t="shared" si="0"/>
        <v>1766</v>
      </c>
      <c r="F53" s="3">
        <v>388.2</v>
      </c>
      <c r="G53" s="5" t="s">
        <v>67</v>
      </c>
      <c r="H53" s="4"/>
      <c r="I53" s="2"/>
      <c r="J53" s="6"/>
      <c r="K53" s="7"/>
    </row>
    <row r="54" spans="1:11" x14ac:dyDescent="0.25">
      <c r="A54" s="4">
        <v>605</v>
      </c>
      <c r="B54" s="18" t="s">
        <v>68</v>
      </c>
      <c r="C54" s="2">
        <v>2913</v>
      </c>
      <c r="D54" s="3">
        <v>0</v>
      </c>
      <c r="E54" s="4">
        <f t="shared" si="0"/>
        <v>2913</v>
      </c>
      <c r="F54" s="3">
        <v>776</v>
      </c>
      <c r="G54" s="5" t="s">
        <v>65</v>
      </c>
      <c r="H54" s="4"/>
      <c r="I54" s="2"/>
      <c r="J54" s="6"/>
      <c r="K54" s="7"/>
    </row>
    <row r="55" spans="1:11" x14ac:dyDescent="0.25">
      <c r="A55" s="4">
        <v>606</v>
      </c>
      <c r="B55" s="18" t="s">
        <v>69</v>
      </c>
      <c r="C55" s="2">
        <v>2913</v>
      </c>
      <c r="D55" s="3">
        <v>0</v>
      </c>
      <c r="E55" s="4">
        <f t="shared" si="0"/>
        <v>2913</v>
      </c>
      <c r="F55" s="3"/>
      <c r="G55" s="5"/>
      <c r="H55" s="4"/>
      <c r="I55" s="2"/>
      <c r="J55" s="6"/>
      <c r="K55" s="7"/>
    </row>
    <row r="56" spans="1:11" x14ac:dyDescent="0.25">
      <c r="A56" s="4">
        <v>607</v>
      </c>
      <c r="B56" s="18" t="s">
        <v>70</v>
      </c>
      <c r="C56" s="2">
        <v>1370</v>
      </c>
      <c r="D56" s="3">
        <v>118</v>
      </c>
      <c r="E56" s="4">
        <f t="shared" si="0"/>
        <v>1488</v>
      </c>
      <c r="F56" s="3">
        <v>388</v>
      </c>
      <c r="G56" s="5" t="s">
        <v>67</v>
      </c>
      <c r="H56" s="4"/>
      <c r="I56" s="2"/>
      <c r="J56" s="6"/>
      <c r="K56" s="7"/>
    </row>
    <row r="57" spans="1:11" x14ac:dyDescent="0.25">
      <c r="A57" s="4">
        <v>608</v>
      </c>
      <c r="B57" s="18" t="s">
        <v>71</v>
      </c>
      <c r="C57" s="2">
        <v>2913</v>
      </c>
      <c r="D57" s="3">
        <v>0</v>
      </c>
      <c r="E57" s="4">
        <f t="shared" si="0"/>
        <v>2913</v>
      </c>
      <c r="F57" s="3"/>
      <c r="G57" s="5"/>
      <c r="H57" s="4"/>
      <c r="I57" s="2"/>
      <c r="J57" s="6"/>
      <c r="K57" s="7"/>
    </row>
    <row r="58" spans="1:11" x14ac:dyDescent="0.25">
      <c r="A58" s="4">
        <v>609</v>
      </c>
      <c r="B58" s="18" t="s">
        <v>72</v>
      </c>
      <c r="C58" s="2">
        <v>2000</v>
      </c>
      <c r="D58" s="3">
        <v>36</v>
      </c>
      <c r="E58" s="4">
        <f t="shared" si="0"/>
        <v>2036</v>
      </c>
      <c r="F58" s="3">
        <v>647</v>
      </c>
      <c r="G58" s="5" t="s">
        <v>73</v>
      </c>
      <c r="H58" s="4"/>
      <c r="I58" s="2"/>
      <c r="J58" s="6"/>
      <c r="K58" s="7"/>
    </row>
    <row r="59" spans="1:11" x14ac:dyDescent="0.25">
      <c r="A59" s="4">
        <v>610</v>
      </c>
      <c r="B59" s="18" t="s">
        <v>74</v>
      </c>
      <c r="C59" s="2">
        <v>1680</v>
      </c>
      <c r="D59" s="3">
        <v>77</v>
      </c>
      <c r="E59" s="4">
        <f t="shared" si="0"/>
        <v>1757</v>
      </c>
      <c r="F59" s="3"/>
      <c r="G59" s="5"/>
      <c r="H59" s="4"/>
      <c r="I59" s="2"/>
      <c r="J59" s="6"/>
      <c r="K59" s="7"/>
    </row>
    <row r="60" spans="1:11" x14ac:dyDescent="0.25">
      <c r="A60" s="4">
        <v>611</v>
      </c>
      <c r="B60" s="18" t="s">
        <v>75</v>
      </c>
      <c r="C60" s="2">
        <v>1840</v>
      </c>
      <c r="D60" s="3">
        <v>57</v>
      </c>
      <c r="E60" s="4">
        <f t="shared" si="0"/>
        <v>1897</v>
      </c>
      <c r="F60" s="3" t="s">
        <v>76</v>
      </c>
      <c r="G60" s="5" t="s">
        <v>76</v>
      </c>
      <c r="H60" s="4"/>
      <c r="I60" s="2"/>
      <c r="J60" s="6"/>
      <c r="K60" s="7"/>
    </row>
    <row r="61" spans="1:11" x14ac:dyDescent="0.25">
      <c r="A61" s="4">
        <v>612</v>
      </c>
      <c r="B61" s="18" t="s">
        <v>77</v>
      </c>
      <c r="C61" s="2">
        <v>1690</v>
      </c>
      <c r="D61" s="3">
        <v>76</v>
      </c>
      <c r="E61" s="4">
        <f t="shared" si="0"/>
        <v>1766</v>
      </c>
      <c r="F61" s="3" t="s">
        <v>78</v>
      </c>
      <c r="G61" s="5" t="s">
        <v>78</v>
      </c>
      <c r="H61" s="4"/>
      <c r="I61" s="2"/>
      <c r="J61" s="6"/>
      <c r="K61" s="7"/>
    </row>
    <row r="62" spans="1:11" x14ac:dyDescent="0.25">
      <c r="A62" s="4">
        <v>613</v>
      </c>
      <c r="B62" s="18" t="s">
        <v>79</v>
      </c>
      <c r="C62" s="2">
        <v>1680</v>
      </c>
      <c r="D62" s="3">
        <v>77</v>
      </c>
      <c r="E62" s="4">
        <f t="shared" si="0"/>
        <v>1757</v>
      </c>
      <c r="F62" s="3" t="s">
        <v>78</v>
      </c>
      <c r="G62" s="5" t="s">
        <v>78</v>
      </c>
      <c r="H62" s="4"/>
      <c r="I62" s="2"/>
      <c r="J62" s="6">
        <v>0</v>
      </c>
      <c r="K62" s="7"/>
    </row>
    <row r="63" spans="1:11" x14ac:dyDescent="0.25">
      <c r="A63" s="4">
        <v>614</v>
      </c>
      <c r="B63" s="18" t="s">
        <v>80</v>
      </c>
      <c r="C63" s="2">
        <v>1740</v>
      </c>
      <c r="D63" s="3">
        <v>75</v>
      </c>
      <c r="E63" s="4">
        <f t="shared" si="0"/>
        <v>1815</v>
      </c>
      <c r="F63" s="3" t="s">
        <v>81</v>
      </c>
      <c r="G63" s="5" t="s">
        <v>81</v>
      </c>
      <c r="H63" s="4"/>
      <c r="I63" s="2"/>
      <c r="J63" s="6"/>
      <c r="K63" s="7"/>
    </row>
    <row r="64" spans="1:11" x14ac:dyDescent="0.25">
      <c r="A64" s="4">
        <v>615</v>
      </c>
      <c r="B64" s="18" t="s">
        <v>82</v>
      </c>
      <c r="C64" s="2">
        <v>1610</v>
      </c>
      <c r="D64" s="3">
        <v>87</v>
      </c>
      <c r="E64" s="4">
        <f t="shared" si="0"/>
        <v>1697</v>
      </c>
      <c r="F64" s="3" t="s">
        <v>67</v>
      </c>
      <c r="G64" s="5" t="s">
        <v>67</v>
      </c>
      <c r="H64" s="4"/>
      <c r="I64" s="2"/>
      <c r="J64" s="6"/>
      <c r="K64" s="7"/>
    </row>
    <row r="65" spans="1:11" x14ac:dyDescent="0.25">
      <c r="A65" s="4">
        <v>616</v>
      </c>
      <c r="B65" s="18" t="s">
        <v>83</v>
      </c>
      <c r="C65" s="2">
        <v>1840</v>
      </c>
      <c r="D65" s="3">
        <v>57</v>
      </c>
      <c r="E65" s="4">
        <f t="shared" si="0"/>
        <v>1897</v>
      </c>
      <c r="F65" s="3"/>
      <c r="G65" s="5" t="s">
        <v>76</v>
      </c>
      <c r="H65" s="4"/>
      <c r="I65" s="2"/>
      <c r="J65" s="6"/>
      <c r="K65" s="7"/>
    </row>
    <row r="66" spans="1:11" x14ac:dyDescent="0.25">
      <c r="A66" s="4">
        <v>617</v>
      </c>
      <c r="B66" s="18" t="s">
        <v>84</v>
      </c>
      <c r="C66" s="2">
        <v>1610</v>
      </c>
      <c r="D66" s="3">
        <v>87</v>
      </c>
      <c r="E66" s="4">
        <f t="shared" si="0"/>
        <v>1697</v>
      </c>
      <c r="F66" s="3"/>
      <c r="G66" s="5" t="s">
        <v>67</v>
      </c>
      <c r="H66" s="4"/>
      <c r="I66" s="2"/>
      <c r="J66" s="6"/>
      <c r="K66" s="7"/>
    </row>
    <row r="67" spans="1:11" x14ac:dyDescent="0.25">
      <c r="A67" s="4">
        <v>618</v>
      </c>
      <c r="B67" s="18" t="s">
        <v>85</v>
      </c>
      <c r="C67" s="2">
        <v>1340</v>
      </c>
      <c r="D67" s="3">
        <v>122</v>
      </c>
      <c r="E67" s="4">
        <f t="shared" ref="E67:E130" si="1">C67+D67</f>
        <v>1462</v>
      </c>
      <c r="F67" s="3"/>
      <c r="G67" s="5" t="s">
        <v>67</v>
      </c>
      <c r="H67" s="4"/>
      <c r="I67" s="2"/>
      <c r="J67" s="6"/>
      <c r="K67" s="7"/>
    </row>
    <row r="68" spans="1:11" x14ac:dyDescent="0.25">
      <c r="A68" s="4">
        <v>619</v>
      </c>
      <c r="B68" s="18" t="s">
        <v>86</v>
      </c>
      <c r="C68" s="2">
        <v>971</v>
      </c>
      <c r="D68" s="3">
        <v>414.7</v>
      </c>
      <c r="E68" s="4">
        <f t="shared" si="1"/>
        <v>1385.7</v>
      </c>
      <c r="F68" s="3"/>
      <c r="G68" s="5"/>
      <c r="H68" s="4"/>
      <c r="I68" s="2"/>
      <c r="J68" s="6"/>
      <c r="K68" s="7"/>
    </row>
    <row r="69" spans="1:11" x14ac:dyDescent="0.25">
      <c r="A69" s="4">
        <v>620</v>
      </c>
      <c r="B69" s="18" t="s">
        <v>87</v>
      </c>
      <c r="C69" s="2">
        <v>1550</v>
      </c>
      <c r="D69" s="3">
        <v>94</v>
      </c>
      <c r="E69" s="4">
        <f t="shared" si="1"/>
        <v>1644</v>
      </c>
      <c r="F69" s="3"/>
      <c r="G69" s="5" t="s">
        <v>67</v>
      </c>
      <c r="H69" s="4"/>
      <c r="I69" s="2"/>
      <c r="J69" s="6"/>
      <c r="K69" s="7"/>
    </row>
    <row r="70" spans="1:11" x14ac:dyDescent="0.25">
      <c r="A70" s="4">
        <v>621</v>
      </c>
      <c r="B70" s="18" t="s">
        <v>88</v>
      </c>
      <c r="C70" s="2">
        <v>1340</v>
      </c>
      <c r="D70" s="3">
        <v>122</v>
      </c>
      <c r="E70" s="4">
        <f t="shared" si="1"/>
        <v>1462</v>
      </c>
      <c r="F70" s="3"/>
      <c r="G70" s="5"/>
      <c r="H70" s="4"/>
      <c r="I70" s="2"/>
      <c r="J70" s="6"/>
      <c r="K70" s="7"/>
    </row>
    <row r="71" spans="1:11" x14ac:dyDescent="0.25">
      <c r="A71" s="4">
        <v>622</v>
      </c>
      <c r="B71" s="18" t="s">
        <v>89</v>
      </c>
      <c r="C71" s="2">
        <v>971</v>
      </c>
      <c r="D71" s="3">
        <v>414.7</v>
      </c>
      <c r="E71" s="4">
        <f t="shared" si="1"/>
        <v>1385.7</v>
      </c>
      <c r="F71" s="3"/>
      <c r="G71" s="5"/>
      <c r="H71" s="4"/>
      <c r="I71" s="2"/>
      <c r="J71" s="6"/>
      <c r="K71" s="7"/>
    </row>
    <row r="72" spans="1:11" x14ac:dyDescent="0.25">
      <c r="A72" s="4">
        <v>624</v>
      </c>
      <c r="B72" s="18" t="s">
        <v>90</v>
      </c>
      <c r="C72" s="2">
        <v>971</v>
      </c>
      <c r="D72" s="3">
        <v>414.7</v>
      </c>
      <c r="E72" s="4">
        <f t="shared" si="1"/>
        <v>1385.7</v>
      </c>
      <c r="F72" s="3"/>
      <c r="G72" s="5"/>
      <c r="H72" s="4"/>
      <c r="I72" s="2"/>
      <c r="J72" s="6"/>
      <c r="K72" s="7"/>
    </row>
    <row r="73" spans="1:11" x14ac:dyDescent="0.25">
      <c r="A73" s="4">
        <v>625</v>
      </c>
      <c r="B73" s="18" t="s">
        <v>91</v>
      </c>
      <c r="C73" s="2">
        <v>1370</v>
      </c>
      <c r="D73" s="3">
        <v>118</v>
      </c>
      <c r="E73" s="4">
        <f t="shared" si="1"/>
        <v>1488</v>
      </c>
      <c r="F73" s="3">
        <v>388</v>
      </c>
      <c r="G73" s="5" t="s">
        <v>67</v>
      </c>
      <c r="H73" s="4"/>
      <c r="I73" s="2"/>
      <c r="J73" s="6"/>
      <c r="K73" s="7"/>
    </row>
    <row r="74" spans="1:11" x14ac:dyDescent="0.25">
      <c r="A74" s="4">
        <v>626</v>
      </c>
      <c r="B74" s="18" t="s">
        <v>92</v>
      </c>
      <c r="C74" s="2">
        <v>1340</v>
      </c>
      <c r="D74" s="3">
        <v>122</v>
      </c>
      <c r="E74" s="4">
        <f t="shared" si="1"/>
        <v>1462</v>
      </c>
      <c r="F74" s="3">
        <v>388</v>
      </c>
      <c r="G74" s="5" t="s">
        <v>67</v>
      </c>
      <c r="H74" s="4"/>
      <c r="I74" s="2"/>
      <c r="J74" s="6"/>
      <c r="K74" s="7"/>
    </row>
    <row r="75" spans="1:11" x14ac:dyDescent="0.25">
      <c r="A75" s="4">
        <v>627</v>
      </c>
      <c r="B75" s="18" t="s">
        <v>93</v>
      </c>
      <c r="C75" s="2">
        <v>1300</v>
      </c>
      <c r="D75" s="3">
        <v>127</v>
      </c>
      <c r="E75" s="4">
        <f t="shared" si="1"/>
        <v>1427</v>
      </c>
      <c r="F75" s="3">
        <v>388</v>
      </c>
      <c r="G75" s="5" t="s">
        <v>67</v>
      </c>
      <c r="H75" s="4"/>
      <c r="I75" s="2"/>
      <c r="J75" s="6"/>
      <c r="K75" s="7"/>
    </row>
    <row r="76" spans="1:11" x14ac:dyDescent="0.25">
      <c r="A76" s="4">
        <v>628</v>
      </c>
      <c r="B76" s="18" t="s">
        <v>94</v>
      </c>
      <c r="C76" s="2">
        <v>980</v>
      </c>
      <c r="D76" s="3">
        <v>169</v>
      </c>
      <c r="E76" s="4">
        <f t="shared" si="1"/>
        <v>1149</v>
      </c>
      <c r="F76" s="3"/>
      <c r="G76" s="5"/>
      <c r="H76" s="4"/>
      <c r="I76" s="2"/>
      <c r="J76" s="6"/>
      <c r="K76" s="7"/>
    </row>
    <row r="77" spans="1:11" x14ac:dyDescent="0.25">
      <c r="A77" s="4">
        <v>629</v>
      </c>
      <c r="B77" s="18" t="s">
        <v>95</v>
      </c>
      <c r="C77" s="2">
        <v>941</v>
      </c>
      <c r="D77" s="3">
        <v>414.7</v>
      </c>
      <c r="E77" s="4">
        <f t="shared" si="1"/>
        <v>1355.7</v>
      </c>
      <c r="F77" s="3"/>
      <c r="G77" s="5"/>
      <c r="H77" s="4"/>
      <c r="I77" s="2"/>
      <c r="J77" s="6"/>
      <c r="K77" s="7"/>
    </row>
    <row r="78" spans="1:11" x14ac:dyDescent="0.25">
      <c r="A78" s="4">
        <v>632</v>
      </c>
      <c r="B78" s="18" t="s">
        <v>39</v>
      </c>
      <c r="C78" s="2">
        <v>941</v>
      </c>
      <c r="D78" s="3">
        <v>414.7</v>
      </c>
      <c r="E78" s="4">
        <f t="shared" si="1"/>
        <v>1355.7</v>
      </c>
      <c r="F78" s="3"/>
      <c r="G78" s="5"/>
      <c r="H78" s="4"/>
      <c r="I78" s="2"/>
      <c r="J78" s="6"/>
      <c r="K78" s="7"/>
    </row>
    <row r="79" spans="1:11" x14ac:dyDescent="0.25">
      <c r="A79" s="4">
        <v>633</v>
      </c>
      <c r="B79" s="18" t="s">
        <v>96</v>
      </c>
      <c r="C79" s="2">
        <v>941</v>
      </c>
      <c r="D79" s="3">
        <v>414.7</v>
      </c>
      <c r="E79" s="4">
        <f t="shared" si="1"/>
        <v>1355.7</v>
      </c>
      <c r="F79" s="3"/>
      <c r="G79" s="5"/>
      <c r="H79" s="4"/>
      <c r="I79" s="2"/>
      <c r="J79" s="6"/>
      <c r="K79" s="7"/>
    </row>
    <row r="80" spans="1:11" x14ac:dyDescent="0.25">
      <c r="A80" s="4">
        <v>634</v>
      </c>
      <c r="B80" s="18" t="s">
        <v>97</v>
      </c>
      <c r="C80" s="2">
        <v>971</v>
      </c>
      <c r="D80" s="3">
        <v>414.7</v>
      </c>
      <c r="E80" s="4">
        <f t="shared" si="1"/>
        <v>1385.7</v>
      </c>
      <c r="F80" s="3"/>
      <c r="G80" s="5"/>
      <c r="H80" s="4"/>
      <c r="I80" s="2"/>
      <c r="J80" s="6"/>
      <c r="K80" s="7"/>
    </row>
    <row r="81" spans="1:11" x14ac:dyDescent="0.25">
      <c r="A81" s="4">
        <v>635</v>
      </c>
      <c r="B81" s="18" t="s">
        <v>98</v>
      </c>
      <c r="C81" s="2">
        <v>1740</v>
      </c>
      <c r="D81" s="3">
        <v>75</v>
      </c>
      <c r="E81" s="4">
        <f t="shared" si="1"/>
        <v>1815</v>
      </c>
      <c r="F81" s="3">
        <v>388</v>
      </c>
      <c r="G81" s="5" t="s">
        <v>67</v>
      </c>
      <c r="H81" s="4"/>
      <c r="I81" s="2"/>
      <c r="J81" s="3"/>
      <c r="K81" s="7"/>
    </row>
    <row r="82" spans="1:11" x14ac:dyDescent="0.25">
      <c r="A82" s="4">
        <v>636</v>
      </c>
      <c r="B82" s="18" t="s">
        <v>99</v>
      </c>
      <c r="C82" s="2">
        <v>971</v>
      </c>
      <c r="D82" s="3">
        <v>414.7</v>
      </c>
      <c r="E82" s="4">
        <f t="shared" si="1"/>
        <v>1385.7</v>
      </c>
      <c r="F82" s="3"/>
      <c r="G82" s="5"/>
      <c r="H82" s="4"/>
      <c r="I82" s="2"/>
      <c r="J82" s="3"/>
      <c r="K82" s="7"/>
    </row>
    <row r="83" spans="1:11" x14ac:dyDescent="0.25">
      <c r="A83" s="4">
        <v>637</v>
      </c>
      <c r="B83" s="18" t="s">
        <v>100</v>
      </c>
      <c r="C83" s="2">
        <v>971</v>
      </c>
      <c r="D83" s="3">
        <v>414.7</v>
      </c>
      <c r="E83" s="4">
        <f t="shared" si="1"/>
        <v>1385.7</v>
      </c>
      <c r="F83" s="3"/>
      <c r="G83" s="5"/>
      <c r="H83" s="4"/>
      <c r="I83" s="2"/>
      <c r="J83" s="3"/>
      <c r="K83" s="7"/>
    </row>
    <row r="84" spans="1:11" x14ac:dyDescent="0.25">
      <c r="A84" s="4">
        <v>639</v>
      </c>
      <c r="B84" s="18" t="s">
        <v>101</v>
      </c>
      <c r="C84" s="2">
        <v>1300</v>
      </c>
      <c r="D84" s="3">
        <v>127</v>
      </c>
      <c r="E84" s="4">
        <f t="shared" si="1"/>
        <v>1427</v>
      </c>
      <c r="F84" s="3"/>
      <c r="G84" s="5"/>
      <c r="H84" s="4"/>
      <c r="I84" s="2"/>
      <c r="J84" s="3"/>
      <c r="K84" s="7"/>
    </row>
    <row r="85" spans="1:11" x14ac:dyDescent="0.25">
      <c r="A85" s="4">
        <v>640</v>
      </c>
      <c r="B85" s="18" t="s">
        <v>102</v>
      </c>
      <c r="C85" s="2">
        <v>1680</v>
      </c>
      <c r="D85" s="3">
        <v>77</v>
      </c>
      <c r="E85" s="4">
        <f t="shared" si="1"/>
        <v>1757</v>
      </c>
      <c r="F85" s="3">
        <v>453</v>
      </c>
      <c r="G85" s="5" t="s">
        <v>78</v>
      </c>
      <c r="H85" s="4"/>
      <c r="I85" s="2"/>
      <c r="J85" s="3"/>
      <c r="K85" s="7"/>
    </row>
    <row r="86" spans="1:11" x14ac:dyDescent="0.25">
      <c r="A86" s="4">
        <v>641</v>
      </c>
      <c r="B86" s="18" t="s">
        <v>103</v>
      </c>
      <c r="C86" s="2">
        <v>1300</v>
      </c>
      <c r="D86" s="3">
        <v>127</v>
      </c>
      <c r="E86" s="4">
        <f t="shared" si="1"/>
        <v>1427</v>
      </c>
      <c r="F86" s="3">
        <v>388</v>
      </c>
      <c r="G86" s="5" t="s">
        <v>67</v>
      </c>
      <c r="H86" s="4"/>
      <c r="I86" s="2"/>
      <c r="J86" s="3"/>
      <c r="K86" s="7"/>
    </row>
    <row r="87" spans="1:11" x14ac:dyDescent="0.25">
      <c r="A87" s="4">
        <v>642</v>
      </c>
      <c r="B87" s="18" t="s">
        <v>104</v>
      </c>
      <c r="C87" s="2">
        <v>2913</v>
      </c>
      <c r="D87" s="3">
        <v>0</v>
      </c>
      <c r="E87" s="4">
        <f t="shared" si="1"/>
        <v>2913</v>
      </c>
      <c r="F87" s="3">
        <v>776</v>
      </c>
      <c r="G87" s="5" t="s">
        <v>65</v>
      </c>
      <c r="H87" s="4"/>
      <c r="I87" s="2"/>
      <c r="J87" s="3"/>
      <c r="K87" s="7"/>
    </row>
    <row r="88" spans="1:11" x14ac:dyDescent="0.25">
      <c r="A88" s="4">
        <v>643</v>
      </c>
      <c r="B88" s="18" t="s">
        <v>105</v>
      </c>
      <c r="C88" s="2">
        <v>1500</v>
      </c>
      <c r="D88" s="3">
        <v>101</v>
      </c>
      <c r="E88" s="4">
        <f t="shared" si="1"/>
        <v>1601</v>
      </c>
      <c r="F88" s="3">
        <v>388</v>
      </c>
      <c r="G88" s="5" t="s">
        <v>67</v>
      </c>
      <c r="H88" s="4"/>
      <c r="I88" s="2"/>
      <c r="J88" s="3"/>
      <c r="K88" s="7"/>
    </row>
    <row r="89" spans="1:11" x14ac:dyDescent="0.25">
      <c r="A89" s="4">
        <v>644</v>
      </c>
      <c r="B89" s="18" t="s">
        <v>106</v>
      </c>
      <c r="C89" s="2">
        <v>971</v>
      </c>
      <c r="D89" s="3">
        <v>414.7</v>
      </c>
      <c r="E89" s="4">
        <f t="shared" si="1"/>
        <v>1385.7</v>
      </c>
      <c r="F89" s="3"/>
      <c r="G89" s="5"/>
      <c r="H89" s="4"/>
      <c r="I89" s="2"/>
      <c r="J89" s="3"/>
      <c r="K89" s="7"/>
    </row>
    <row r="90" spans="1:11" x14ac:dyDescent="0.25">
      <c r="A90" s="4">
        <v>645</v>
      </c>
      <c r="B90" s="18" t="s">
        <v>107</v>
      </c>
      <c r="C90" s="2">
        <v>2329</v>
      </c>
      <c r="D90" s="3">
        <v>0</v>
      </c>
      <c r="E90" s="4">
        <f t="shared" si="1"/>
        <v>2329</v>
      </c>
      <c r="F90" s="3"/>
      <c r="G90" s="5"/>
      <c r="H90" s="4"/>
      <c r="I90" s="2"/>
      <c r="J90" s="3"/>
      <c r="K90" s="7"/>
    </row>
    <row r="91" spans="1:11" x14ac:dyDescent="0.25">
      <c r="A91" s="4">
        <v>646</v>
      </c>
      <c r="B91" s="18" t="s">
        <v>108</v>
      </c>
      <c r="C91" s="2">
        <v>906</v>
      </c>
      <c r="D91" s="3">
        <v>414.7</v>
      </c>
      <c r="E91" s="4">
        <f t="shared" si="1"/>
        <v>1320.7</v>
      </c>
      <c r="F91" s="3"/>
      <c r="G91" s="5"/>
      <c r="H91" s="4"/>
      <c r="I91" s="2"/>
      <c r="J91" s="3"/>
      <c r="K91" s="7"/>
    </row>
    <row r="92" spans="1:11" x14ac:dyDescent="0.25">
      <c r="A92" s="4">
        <v>647</v>
      </c>
      <c r="B92" s="18" t="s">
        <v>109</v>
      </c>
      <c r="C92" s="2">
        <v>1830</v>
      </c>
      <c r="D92" s="3">
        <v>58</v>
      </c>
      <c r="E92" s="4">
        <f t="shared" si="1"/>
        <v>1888</v>
      </c>
      <c r="F92" s="3"/>
      <c r="G92" s="5"/>
      <c r="H92" s="4"/>
      <c r="I92" s="2"/>
      <c r="J92" s="3"/>
      <c r="K92" s="7"/>
    </row>
    <row r="93" spans="1:11" x14ac:dyDescent="0.25">
      <c r="A93" s="4">
        <v>648</v>
      </c>
      <c r="B93" s="18" t="s">
        <v>110</v>
      </c>
      <c r="C93" s="2">
        <v>2000</v>
      </c>
      <c r="D93" s="3">
        <v>36</v>
      </c>
      <c r="E93" s="4">
        <f t="shared" si="1"/>
        <v>2036</v>
      </c>
      <c r="F93" s="3">
        <v>518</v>
      </c>
      <c r="G93" s="5" t="s">
        <v>81</v>
      </c>
      <c r="H93" s="4"/>
      <c r="I93" s="2"/>
      <c r="J93" s="3"/>
      <c r="K93" s="7"/>
    </row>
    <row r="94" spans="1:11" x14ac:dyDescent="0.25">
      <c r="A94" s="4">
        <v>649</v>
      </c>
      <c r="B94" s="18" t="s">
        <v>111</v>
      </c>
      <c r="C94" s="2">
        <v>971</v>
      </c>
      <c r="D94" s="3">
        <v>414.7</v>
      </c>
      <c r="E94" s="4">
        <f t="shared" si="1"/>
        <v>1385.7</v>
      </c>
      <c r="F94" s="3"/>
      <c r="G94" s="5"/>
      <c r="H94" s="4"/>
      <c r="I94" s="2"/>
      <c r="J94" s="3"/>
      <c r="K94" s="7"/>
    </row>
    <row r="95" spans="1:11" x14ac:dyDescent="0.25">
      <c r="A95" s="4">
        <v>650</v>
      </c>
      <c r="B95" s="18" t="s">
        <v>112</v>
      </c>
      <c r="C95" s="2">
        <v>1740</v>
      </c>
      <c r="D95" s="3">
        <v>75</v>
      </c>
      <c r="E95" s="4">
        <f t="shared" si="1"/>
        <v>1815</v>
      </c>
      <c r="F95" s="3"/>
      <c r="G95" s="5"/>
      <c r="H95" s="4"/>
      <c r="I95" s="2">
        <v>750</v>
      </c>
      <c r="J95" s="3"/>
      <c r="K95" s="7"/>
    </row>
    <row r="96" spans="1:11" x14ac:dyDescent="0.25">
      <c r="A96" s="4">
        <v>651</v>
      </c>
      <c r="B96" s="18" t="s">
        <v>113</v>
      </c>
      <c r="C96" s="2">
        <v>971</v>
      </c>
      <c r="D96" s="3">
        <v>414.7</v>
      </c>
      <c r="E96" s="4">
        <f t="shared" si="1"/>
        <v>1385.7</v>
      </c>
      <c r="F96" s="3"/>
      <c r="G96" s="5"/>
      <c r="H96" s="4"/>
      <c r="I96" s="2"/>
      <c r="J96" s="3"/>
      <c r="K96" s="7"/>
    </row>
    <row r="97" spans="1:11" x14ac:dyDescent="0.25">
      <c r="A97" s="4">
        <v>652</v>
      </c>
      <c r="B97" s="18" t="s">
        <v>114</v>
      </c>
      <c r="C97" s="2">
        <v>1250</v>
      </c>
      <c r="D97" s="3">
        <v>134</v>
      </c>
      <c r="E97" s="4">
        <f t="shared" si="1"/>
        <v>1384</v>
      </c>
      <c r="F97" s="3"/>
      <c r="G97" s="5"/>
      <c r="H97" s="4"/>
      <c r="I97" s="2">
        <v>496</v>
      </c>
      <c r="J97" s="3"/>
      <c r="K97" s="7"/>
    </row>
    <row r="98" spans="1:11" x14ac:dyDescent="0.25">
      <c r="A98" s="4">
        <v>653</v>
      </c>
      <c r="B98" s="18" t="s">
        <v>115</v>
      </c>
      <c r="C98" s="2">
        <v>1400</v>
      </c>
      <c r="D98" s="3">
        <v>114</v>
      </c>
      <c r="E98" s="4">
        <f t="shared" si="1"/>
        <v>1514</v>
      </c>
      <c r="F98" s="3">
        <v>388</v>
      </c>
      <c r="G98" s="5" t="s">
        <v>67</v>
      </c>
      <c r="H98" s="4"/>
      <c r="I98" s="2">
        <v>100</v>
      </c>
      <c r="J98" s="3"/>
      <c r="K98" s="7"/>
    </row>
    <row r="99" spans="1:11" x14ac:dyDescent="0.25">
      <c r="A99" s="4">
        <v>654</v>
      </c>
      <c r="B99" s="18" t="s">
        <v>116</v>
      </c>
      <c r="C99" s="2">
        <v>1690</v>
      </c>
      <c r="D99" s="3">
        <v>76</v>
      </c>
      <c r="E99" s="4">
        <f t="shared" si="1"/>
        <v>1766</v>
      </c>
      <c r="F99" s="3">
        <v>453</v>
      </c>
      <c r="G99" s="5" t="s">
        <v>78</v>
      </c>
      <c r="H99" s="4"/>
      <c r="I99" s="2">
        <v>300</v>
      </c>
      <c r="J99" s="3"/>
      <c r="K99" s="7"/>
    </row>
    <row r="100" spans="1:11" x14ac:dyDescent="0.25">
      <c r="A100" s="4">
        <v>655</v>
      </c>
      <c r="B100" s="18" t="s">
        <v>117</v>
      </c>
      <c r="C100" s="2">
        <v>1550</v>
      </c>
      <c r="D100" s="3">
        <v>94</v>
      </c>
      <c r="E100" s="4">
        <f t="shared" si="1"/>
        <v>1644</v>
      </c>
      <c r="F100" s="3">
        <v>388</v>
      </c>
      <c r="G100" s="5" t="s">
        <v>67</v>
      </c>
      <c r="H100" s="4"/>
      <c r="I100" s="2">
        <v>200</v>
      </c>
      <c r="J100" s="3"/>
      <c r="K100" s="7"/>
    </row>
    <row r="101" spans="1:11" x14ac:dyDescent="0.25">
      <c r="A101" s="4">
        <v>656</v>
      </c>
      <c r="B101" s="18" t="s">
        <v>118</v>
      </c>
      <c r="C101" s="2">
        <v>971</v>
      </c>
      <c r="D101" s="3">
        <v>414.7</v>
      </c>
      <c r="E101" s="4">
        <f t="shared" si="1"/>
        <v>1385.7</v>
      </c>
      <c r="F101" s="3"/>
      <c r="G101" s="5"/>
      <c r="H101" s="4"/>
      <c r="I101" s="2"/>
      <c r="J101" s="3"/>
      <c r="K101" s="7"/>
    </row>
    <row r="102" spans="1:11" x14ac:dyDescent="0.25">
      <c r="A102" s="4">
        <v>658</v>
      </c>
      <c r="B102" s="18" t="s">
        <v>119</v>
      </c>
      <c r="C102" s="2">
        <v>1300</v>
      </c>
      <c r="D102" s="3">
        <v>127</v>
      </c>
      <c r="E102" s="4">
        <f t="shared" si="1"/>
        <v>1427</v>
      </c>
      <c r="F102" s="3">
        <v>388</v>
      </c>
      <c r="G102" s="5" t="s">
        <v>67</v>
      </c>
      <c r="H102" s="4"/>
      <c r="I102" s="2"/>
      <c r="J102" s="3"/>
      <c r="K102" s="7"/>
    </row>
    <row r="103" spans="1:11" x14ac:dyDescent="0.25">
      <c r="A103" s="4">
        <v>659</v>
      </c>
      <c r="B103" s="18" t="s">
        <v>120</v>
      </c>
      <c r="C103" s="2">
        <v>1340</v>
      </c>
      <c r="D103" s="3">
        <v>122</v>
      </c>
      <c r="E103" s="4">
        <f t="shared" si="1"/>
        <v>1462</v>
      </c>
      <c r="F103" s="3"/>
      <c r="G103" s="5"/>
      <c r="H103" s="4"/>
      <c r="I103" s="2"/>
      <c r="J103" s="3"/>
      <c r="K103" s="7"/>
    </row>
    <row r="104" spans="1:11" x14ac:dyDescent="0.25">
      <c r="A104" s="4">
        <v>667</v>
      </c>
      <c r="B104" s="18" t="s">
        <v>121</v>
      </c>
      <c r="C104" s="2">
        <v>2000</v>
      </c>
      <c r="D104" s="3">
        <v>36</v>
      </c>
      <c r="E104" s="4">
        <f t="shared" si="1"/>
        <v>2036</v>
      </c>
      <c r="F104" s="3">
        <v>647</v>
      </c>
      <c r="G104" s="5" t="s">
        <v>73</v>
      </c>
      <c r="H104" s="4"/>
      <c r="I104" s="2">
        <v>830</v>
      </c>
      <c r="J104" s="3"/>
      <c r="K104" s="7"/>
    </row>
    <row r="105" spans="1:11" x14ac:dyDescent="0.25">
      <c r="A105" s="4">
        <v>668</v>
      </c>
      <c r="B105" s="18" t="s">
        <v>122</v>
      </c>
      <c r="C105" s="2">
        <v>1840</v>
      </c>
      <c r="D105" s="3">
        <v>57</v>
      </c>
      <c r="E105" s="4">
        <f t="shared" si="1"/>
        <v>1897</v>
      </c>
      <c r="F105" s="3">
        <v>582</v>
      </c>
      <c r="G105" s="5" t="s">
        <v>76</v>
      </c>
      <c r="H105" s="4"/>
      <c r="I105" s="2">
        <v>830</v>
      </c>
      <c r="J105" s="3"/>
      <c r="K105" s="7"/>
    </row>
    <row r="106" spans="1:11" x14ac:dyDescent="0.25">
      <c r="A106" s="4">
        <v>669</v>
      </c>
      <c r="B106" s="18" t="s">
        <v>123</v>
      </c>
      <c r="C106" s="2">
        <v>1680</v>
      </c>
      <c r="D106" s="3">
        <v>77</v>
      </c>
      <c r="E106" s="4">
        <f t="shared" si="1"/>
        <v>1757</v>
      </c>
      <c r="F106" s="3" t="s">
        <v>78</v>
      </c>
      <c r="G106" s="5" t="s">
        <v>78</v>
      </c>
      <c r="H106" s="4"/>
      <c r="I106" s="2">
        <v>830</v>
      </c>
      <c r="J106" s="3"/>
      <c r="K106" s="7"/>
    </row>
    <row r="107" spans="1:11" x14ac:dyDescent="0.25">
      <c r="A107" s="4">
        <v>670</v>
      </c>
      <c r="B107" s="18" t="s">
        <v>124</v>
      </c>
      <c r="C107" s="2">
        <v>1740</v>
      </c>
      <c r="D107" s="3">
        <v>75</v>
      </c>
      <c r="E107" s="4">
        <f t="shared" si="1"/>
        <v>1815</v>
      </c>
      <c r="F107" s="3" t="s">
        <v>81</v>
      </c>
      <c r="G107" s="5" t="s">
        <v>81</v>
      </c>
      <c r="H107" s="4"/>
      <c r="I107" s="2">
        <v>750</v>
      </c>
      <c r="J107" s="3"/>
      <c r="K107" s="7"/>
    </row>
    <row r="108" spans="1:11" x14ac:dyDescent="0.25">
      <c r="A108" s="4">
        <v>671</v>
      </c>
      <c r="B108" s="18" t="s">
        <v>125</v>
      </c>
      <c r="C108" s="2">
        <v>1610</v>
      </c>
      <c r="D108" s="3">
        <v>87</v>
      </c>
      <c r="E108" s="4">
        <f t="shared" si="1"/>
        <v>1697</v>
      </c>
      <c r="F108" s="3" t="s">
        <v>67</v>
      </c>
      <c r="G108" s="5" t="s">
        <v>67</v>
      </c>
      <c r="H108" s="4"/>
      <c r="I108" s="2">
        <v>750</v>
      </c>
      <c r="J108" s="3"/>
      <c r="K108" s="7"/>
    </row>
    <row r="109" spans="1:11" x14ac:dyDescent="0.25">
      <c r="A109" s="4">
        <v>675</v>
      </c>
      <c r="B109" s="18" t="s">
        <v>126</v>
      </c>
      <c r="C109" s="2">
        <v>1740</v>
      </c>
      <c r="D109" s="3">
        <v>75</v>
      </c>
      <c r="E109" s="4">
        <f t="shared" si="1"/>
        <v>1815</v>
      </c>
      <c r="F109" s="3">
        <v>517</v>
      </c>
      <c r="G109" s="5" t="s">
        <v>127</v>
      </c>
      <c r="H109" s="4"/>
      <c r="I109" s="2">
        <v>725</v>
      </c>
      <c r="J109" s="3"/>
      <c r="K109" s="7"/>
    </row>
    <row r="110" spans="1:11" x14ac:dyDescent="0.25">
      <c r="A110" s="4">
        <v>676</v>
      </c>
      <c r="B110" s="18" t="s">
        <v>128</v>
      </c>
      <c r="C110" s="2">
        <v>1610</v>
      </c>
      <c r="D110" s="3">
        <v>87</v>
      </c>
      <c r="E110" s="4">
        <f t="shared" si="1"/>
        <v>1697</v>
      </c>
      <c r="F110" s="3">
        <v>388</v>
      </c>
      <c r="G110" s="5" t="s">
        <v>67</v>
      </c>
      <c r="H110" s="4"/>
      <c r="I110" s="2">
        <v>725</v>
      </c>
      <c r="J110" s="3"/>
      <c r="K110" s="7"/>
    </row>
    <row r="111" spans="1:11" x14ac:dyDescent="0.25">
      <c r="A111" s="4">
        <v>677</v>
      </c>
      <c r="B111" s="18" t="s">
        <v>129</v>
      </c>
      <c r="C111" s="2">
        <v>1500</v>
      </c>
      <c r="D111" s="3">
        <v>101</v>
      </c>
      <c r="E111" s="4">
        <f t="shared" si="1"/>
        <v>1601</v>
      </c>
      <c r="F111" s="3">
        <v>388</v>
      </c>
      <c r="G111" s="5" t="s">
        <v>67</v>
      </c>
      <c r="H111" s="4"/>
      <c r="I111" s="2">
        <v>725</v>
      </c>
      <c r="J111" s="3"/>
      <c r="K111" s="7"/>
    </row>
    <row r="112" spans="1:11" x14ac:dyDescent="0.25">
      <c r="A112" s="4">
        <v>678</v>
      </c>
      <c r="B112" s="18" t="s">
        <v>130</v>
      </c>
      <c r="C112" s="2">
        <v>1320</v>
      </c>
      <c r="D112" s="3">
        <v>124</v>
      </c>
      <c r="E112" s="4">
        <f t="shared" si="1"/>
        <v>1444</v>
      </c>
      <c r="F112" s="3"/>
      <c r="G112" s="5"/>
      <c r="H112" s="4"/>
      <c r="I112" s="2">
        <v>590</v>
      </c>
      <c r="J112" s="3"/>
      <c r="K112" s="7"/>
    </row>
    <row r="113" spans="1:11" x14ac:dyDescent="0.25">
      <c r="A113" s="4">
        <v>679</v>
      </c>
      <c r="B113" s="18" t="s">
        <v>131</v>
      </c>
      <c r="C113" s="2">
        <v>1690</v>
      </c>
      <c r="D113" s="3">
        <v>76</v>
      </c>
      <c r="E113" s="4">
        <f t="shared" si="1"/>
        <v>1766</v>
      </c>
      <c r="F113" s="3"/>
      <c r="G113" s="5"/>
      <c r="H113" s="4"/>
      <c r="I113" s="2">
        <v>708</v>
      </c>
      <c r="J113" s="3"/>
      <c r="K113" s="7"/>
    </row>
    <row r="114" spans="1:11" x14ac:dyDescent="0.25">
      <c r="A114" s="4">
        <v>684</v>
      </c>
      <c r="B114" s="18" t="s">
        <v>132</v>
      </c>
      <c r="C114" s="2">
        <v>1170</v>
      </c>
      <c r="D114" s="3">
        <v>144</v>
      </c>
      <c r="E114" s="4">
        <f t="shared" si="1"/>
        <v>1314</v>
      </c>
      <c r="F114" s="3"/>
      <c r="G114" s="5"/>
      <c r="H114" s="4"/>
      <c r="I114" s="2">
        <v>580</v>
      </c>
      <c r="J114" s="3"/>
      <c r="K114" s="7"/>
    </row>
    <row r="115" spans="1:11" x14ac:dyDescent="0.25">
      <c r="A115" s="4">
        <v>686</v>
      </c>
      <c r="B115" s="18" t="s">
        <v>133</v>
      </c>
      <c r="C115" s="2">
        <v>2000</v>
      </c>
      <c r="D115" s="3">
        <v>36</v>
      </c>
      <c r="E115" s="4">
        <f t="shared" si="1"/>
        <v>2036</v>
      </c>
      <c r="F115" s="3">
        <v>647</v>
      </c>
      <c r="G115" s="5" t="s">
        <v>73</v>
      </c>
      <c r="H115" s="4"/>
      <c r="I115" s="2">
        <v>830</v>
      </c>
      <c r="J115" s="3"/>
      <c r="K115" s="7"/>
    </row>
    <row r="116" spans="1:11" x14ac:dyDescent="0.25">
      <c r="A116" s="4">
        <v>687</v>
      </c>
      <c r="B116" s="18" t="s">
        <v>134</v>
      </c>
      <c r="C116" s="2">
        <v>1840</v>
      </c>
      <c r="D116" s="3">
        <v>57</v>
      </c>
      <c r="E116" s="4">
        <f t="shared" si="1"/>
        <v>1897</v>
      </c>
      <c r="F116" s="3">
        <v>582</v>
      </c>
      <c r="G116" s="5" t="s">
        <v>76</v>
      </c>
      <c r="H116" s="4"/>
      <c r="I116" s="2">
        <v>600</v>
      </c>
      <c r="J116" s="3"/>
      <c r="K116" s="7"/>
    </row>
    <row r="117" spans="1:11" x14ac:dyDescent="0.25">
      <c r="A117" s="4">
        <v>688</v>
      </c>
      <c r="B117" s="18" t="s">
        <v>135</v>
      </c>
      <c r="C117" s="2">
        <v>1680</v>
      </c>
      <c r="D117" s="3">
        <v>77</v>
      </c>
      <c r="E117" s="4">
        <f t="shared" si="1"/>
        <v>1757</v>
      </c>
      <c r="F117" s="3" t="s">
        <v>78</v>
      </c>
      <c r="G117" s="5" t="s">
        <v>78</v>
      </c>
      <c r="H117" s="4"/>
      <c r="I117" s="2">
        <v>830</v>
      </c>
      <c r="J117" s="3"/>
      <c r="K117" s="7"/>
    </row>
    <row r="118" spans="1:11" x14ac:dyDescent="0.25">
      <c r="A118" s="4">
        <v>691</v>
      </c>
      <c r="B118" s="18" t="s">
        <v>136</v>
      </c>
      <c r="C118" s="2">
        <v>1500</v>
      </c>
      <c r="D118" s="3">
        <v>101</v>
      </c>
      <c r="E118" s="4">
        <f t="shared" si="1"/>
        <v>1601</v>
      </c>
      <c r="F118" s="3"/>
      <c r="G118" s="5"/>
      <c r="H118" s="4"/>
      <c r="I118" s="2">
        <v>750</v>
      </c>
      <c r="J118" s="3"/>
      <c r="K118" s="7"/>
    </row>
    <row r="119" spans="1:11" x14ac:dyDescent="0.25">
      <c r="A119" s="4">
        <v>692</v>
      </c>
      <c r="B119" s="18" t="s">
        <v>137</v>
      </c>
      <c r="C119" s="2">
        <v>1680</v>
      </c>
      <c r="D119" s="3">
        <v>77</v>
      </c>
      <c r="E119" s="4">
        <f t="shared" si="1"/>
        <v>1757</v>
      </c>
      <c r="F119" s="3" t="s">
        <v>78</v>
      </c>
      <c r="G119" s="5" t="s">
        <v>78</v>
      </c>
      <c r="H119" s="4"/>
      <c r="I119" s="2"/>
      <c r="J119" s="3"/>
      <c r="K119" s="7"/>
    </row>
    <row r="120" spans="1:11" x14ac:dyDescent="0.25">
      <c r="A120" s="4">
        <v>693</v>
      </c>
      <c r="B120" s="18" t="s">
        <v>138</v>
      </c>
      <c r="C120" s="2">
        <v>1500</v>
      </c>
      <c r="D120" s="3">
        <v>101</v>
      </c>
      <c r="E120" s="4">
        <f t="shared" si="1"/>
        <v>1601</v>
      </c>
      <c r="F120" s="3" t="s">
        <v>78</v>
      </c>
      <c r="G120" s="5" t="s">
        <v>78</v>
      </c>
      <c r="H120" s="4"/>
      <c r="I120" s="2"/>
      <c r="J120" s="3"/>
      <c r="K120" s="7"/>
    </row>
    <row r="121" spans="1:11" x14ac:dyDescent="0.25">
      <c r="A121" s="4">
        <v>694</v>
      </c>
      <c r="B121" s="18" t="s">
        <v>139</v>
      </c>
      <c r="C121" s="2">
        <v>1300</v>
      </c>
      <c r="D121" s="3">
        <v>127</v>
      </c>
      <c r="E121" s="4">
        <f t="shared" si="1"/>
        <v>1427</v>
      </c>
      <c r="F121" s="3" t="s">
        <v>78</v>
      </c>
      <c r="G121" s="5" t="s">
        <v>78</v>
      </c>
      <c r="H121" s="4"/>
      <c r="I121" s="2"/>
      <c r="J121" s="3"/>
      <c r="K121" s="7"/>
    </row>
    <row r="122" spans="1:11" x14ac:dyDescent="0.25">
      <c r="A122" s="4">
        <v>696</v>
      </c>
      <c r="B122" s="18" t="s">
        <v>140</v>
      </c>
      <c r="C122" s="2">
        <v>1500</v>
      </c>
      <c r="D122" s="3">
        <v>101</v>
      </c>
      <c r="E122" s="4">
        <f t="shared" si="1"/>
        <v>1601</v>
      </c>
      <c r="F122" s="3" t="s">
        <v>78</v>
      </c>
      <c r="G122" s="5" t="s">
        <v>78</v>
      </c>
      <c r="H122" s="4"/>
      <c r="I122" s="2"/>
      <c r="J122" s="3"/>
      <c r="K122" s="7"/>
    </row>
    <row r="123" spans="1:11" x14ac:dyDescent="0.25">
      <c r="A123" s="4">
        <v>702</v>
      </c>
      <c r="B123" s="18" t="s">
        <v>141</v>
      </c>
      <c r="C123" s="2">
        <v>1400</v>
      </c>
      <c r="D123" s="3">
        <v>114</v>
      </c>
      <c r="E123" s="4">
        <f t="shared" si="1"/>
        <v>1514</v>
      </c>
      <c r="F123" s="3">
        <v>310</v>
      </c>
      <c r="G123" s="5" t="s">
        <v>67</v>
      </c>
      <c r="H123" s="4">
        <v>17</v>
      </c>
      <c r="I123" s="2"/>
      <c r="J123" s="3"/>
      <c r="K123" s="7"/>
    </row>
    <row r="124" spans="1:11" x14ac:dyDescent="0.25">
      <c r="A124" s="4">
        <v>703</v>
      </c>
      <c r="B124" s="18" t="s">
        <v>142</v>
      </c>
      <c r="C124" s="2">
        <v>1400</v>
      </c>
      <c r="D124" s="3">
        <v>114</v>
      </c>
      <c r="E124" s="4">
        <f t="shared" si="1"/>
        <v>1514</v>
      </c>
      <c r="F124" s="3">
        <v>310</v>
      </c>
      <c r="G124" s="5" t="s">
        <v>67</v>
      </c>
      <c r="H124" s="4">
        <v>17</v>
      </c>
      <c r="I124" s="2">
        <v>211</v>
      </c>
      <c r="J124" s="3"/>
      <c r="K124" s="7"/>
    </row>
    <row r="125" spans="1:11" x14ac:dyDescent="0.25">
      <c r="A125" s="4">
        <v>704</v>
      </c>
      <c r="B125" s="18" t="s">
        <v>143</v>
      </c>
      <c r="C125" s="2">
        <v>1300</v>
      </c>
      <c r="D125" s="3">
        <v>127</v>
      </c>
      <c r="E125" s="4">
        <f t="shared" si="1"/>
        <v>1427</v>
      </c>
      <c r="F125" s="3">
        <v>310</v>
      </c>
      <c r="G125" s="5" t="s">
        <v>67</v>
      </c>
      <c r="H125" s="4">
        <v>17</v>
      </c>
      <c r="I125" s="2"/>
      <c r="J125" s="3"/>
      <c r="K125" s="7"/>
    </row>
    <row r="126" spans="1:11" x14ac:dyDescent="0.25">
      <c r="A126" s="4">
        <v>705</v>
      </c>
      <c r="B126" s="18" t="s">
        <v>144</v>
      </c>
      <c r="C126" s="2">
        <v>1300</v>
      </c>
      <c r="D126" s="3">
        <v>127</v>
      </c>
      <c r="E126" s="4">
        <f t="shared" si="1"/>
        <v>1427</v>
      </c>
      <c r="F126" s="3">
        <v>310</v>
      </c>
      <c r="G126" s="5" t="s">
        <v>67</v>
      </c>
      <c r="H126" s="4">
        <v>17</v>
      </c>
      <c r="I126" s="2">
        <v>211</v>
      </c>
      <c r="J126" s="3"/>
      <c r="K126" s="7"/>
    </row>
    <row r="127" spans="1:11" x14ac:dyDescent="0.25">
      <c r="A127" s="4">
        <v>706</v>
      </c>
      <c r="B127" s="18" t="s">
        <v>145</v>
      </c>
      <c r="C127" s="2">
        <v>1250</v>
      </c>
      <c r="D127" s="3">
        <v>134</v>
      </c>
      <c r="E127" s="4">
        <f t="shared" si="1"/>
        <v>1384</v>
      </c>
      <c r="F127" s="3">
        <v>310</v>
      </c>
      <c r="G127" s="5" t="s">
        <v>67</v>
      </c>
      <c r="H127" s="4">
        <v>17</v>
      </c>
      <c r="I127" s="2"/>
      <c r="J127" s="3"/>
      <c r="K127" s="7"/>
    </row>
    <row r="128" spans="1:11" x14ac:dyDescent="0.25">
      <c r="A128" s="4">
        <v>707</v>
      </c>
      <c r="B128" s="18" t="s">
        <v>146</v>
      </c>
      <c r="C128" s="2">
        <v>2913</v>
      </c>
      <c r="D128" s="3">
        <v>0</v>
      </c>
      <c r="E128" s="4">
        <f t="shared" si="1"/>
        <v>2913</v>
      </c>
      <c r="F128" s="3">
        <v>776</v>
      </c>
      <c r="G128" s="5" t="s">
        <v>65</v>
      </c>
      <c r="H128" s="4"/>
      <c r="I128" s="2"/>
      <c r="J128" s="3"/>
      <c r="K128" s="7"/>
    </row>
    <row r="129" spans="1:11" x14ac:dyDescent="0.25">
      <c r="A129" s="4">
        <v>708</v>
      </c>
      <c r="B129" s="18" t="s">
        <v>147</v>
      </c>
      <c r="C129" s="2">
        <v>3146</v>
      </c>
      <c r="D129" s="3">
        <v>0</v>
      </c>
      <c r="E129" s="4">
        <f t="shared" si="1"/>
        <v>3146</v>
      </c>
      <c r="F129" s="3">
        <v>776</v>
      </c>
      <c r="G129" s="5" t="s">
        <v>65</v>
      </c>
      <c r="H129" s="4"/>
      <c r="I129" s="2"/>
      <c r="J129" s="3"/>
      <c r="K129" s="7"/>
    </row>
    <row r="130" spans="1:11" x14ac:dyDescent="0.25">
      <c r="A130" s="4">
        <v>709</v>
      </c>
      <c r="B130" s="18" t="s">
        <v>148</v>
      </c>
      <c r="C130" s="2">
        <v>2913</v>
      </c>
      <c r="D130" s="3">
        <v>0</v>
      </c>
      <c r="E130" s="4">
        <f t="shared" si="1"/>
        <v>2913</v>
      </c>
      <c r="F130" s="3">
        <v>776</v>
      </c>
      <c r="G130" s="5" t="s">
        <v>65</v>
      </c>
      <c r="H130" s="4"/>
      <c r="I130" s="2"/>
      <c r="J130" s="3"/>
      <c r="K130" s="7"/>
    </row>
    <row r="131" spans="1:11" x14ac:dyDescent="0.25">
      <c r="A131" s="4">
        <v>710</v>
      </c>
      <c r="B131" s="18" t="s">
        <v>149</v>
      </c>
      <c r="C131" s="2">
        <v>2913</v>
      </c>
      <c r="D131" s="3">
        <v>0</v>
      </c>
      <c r="E131" s="4">
        <f t="shared" ref="E131:E171" si="2">C131+D131</f>
        <v>2913</v>
      </c>
      <c r="F131" s="3">
        <v>776</v>
      </c>
      <c r="G131" s="5" t="s">
        <v>65</v>
      </c>
      <c r="H131" s="4">
        <v>20</v>
      </c>
      <c r="I131" s="2"/>
      <c r="J131" s="3"/>
      <c r="K131" s="7"/>
    </row>
    <row r="132" spans="1:11" x14ac:dyDescent="0.25">
      <c r="A132" s="4">
        <v>711</v>
      </c>
      <c r="B132" s="18" t="s">
        <v>150</v>
      </c>
      <c r="C132" s="2">
        <v>2913</v>
      </c>
      <c r="D132" s="3">
        <v>0</v>
      </c>
      <c r="E132" s="4">
        <f t="shared" si="2"/>
        <v>2913</v>
      </c>
      <c r="F132" s="3">
        <v>776</v>
      </c>
      <c r="G132" s="5" t="s">
        <v>65</v>
      </c>
      <c r="H132" s="4"/>
      <c r="I132" s="2"/>
      <c r="J132" s="3"/>
      <c r="K132" s="7"/>
    </row>
    <row r="133" spans="1:11" x14ac:dyDescent="0.25">
      <c r="A133" s="4">
        <v>712</v>
      </c>
      <c r="B133" s="18" t="s">
        <v>151</v>
      </c>
      <c r="C133" s="2">
        <v>2913</v>
      </c>
      <c r="D133" s="3">
        <v>0</v>
      </c>
      <c r="E133" s="4">
        <f t="shared" si="2"/>
        <v>2913</v>
      </c>
      <c r="F133" s="3">
        <v>776</v>
      </c>
      <c r="G133" s="5" t="s">
        <v>65</v>
      </c>
      <c r="H133" s="4"/>
      <c r="I133" s="2"/>
      <c r="J133" s="3"/>
      <c r="K133" s="7"/>
    </row>
    <row r="134" spans="1:11" x14ac:dyDescent="0.25">
      <c r="A134" s="4">
        <v>713</v>
      </c>
      <c r="B134" s="18" t="s">
        <v>152</v>
      </c>
      <c r="C134" s="2">
        <v>2913</v>
      </c>
      <c r="D134" s="3">
        <v>0</v>
      </c>
      <c r="E134" s="4">
        <f t="shared" si="2"/>
        <v>2913</v>
      </c>
      <c r="F134" s="3">
        <v>776</v>
      </c>
      <c r="G134" s="5" t="s">
        <v>65</v>
      </c>
      <c r="H134" s="4"/>
      <c r="I134" s="2"/>
      <c r="J134" s="3"/>
      <c r="K134" s="7"/>
    </row>
    <row r="135" spans="1:11" x14ac:dyDescent="0.25">
      <c r="A135" s="4">
        <v>714</v>
      </c>
      <c r="B135" s="18" t="s">
        <v>153</v>
      </c>
      <c r="C135" s="2">
        <v>2913</v>
      </c>
      <c r="D135" s="3">
        <v>0</v>
      </c>
      <c r="E135" s="4">
        <f t="shared" si="2"/>
        <v>2913</v>
      </c>
      <c r="F135" s="3"/>
      <c r="G135" s="5"/>
      <c r="H135" s="4"/>
      <c r="I135" s="2"/>
      <c r="J135" s="3"/>
      <c r="K135" s="7"/>
    </row>
    <row r="136" spans="1:11" x14ac:dyDescent="0.25">
      <c r="A136" s="4">
        <v>716</v>
      </c>
      <c r="B136" s="18" t="s">
        <v>154</v>
      </c>
      <c r="C136" s="2">
        <v>1942</v>
      </c>
      <c r="D136" s="3">
        <v>43</v>
      </c>
      <c r="E136" s="4">
        <f t="shared" si="2"/>
        <v>1985</v>
      </c>
      <c r="F136" s="3">
        <v>517.29999999999995</v>
      </c>
      <c r="G136" s="5" t="s">
        <v>73</v>
      </c>
      <c r="H136" s="4"/>
      <c r="I136" s="2"/>
      <c r="J136" s="8">
        <v>782</v>
      </c>
      <c r="K136" s="9">
        <v>744</v>
      </c>
    </row>
    <row r="137" spans="1:11" x14ac:dyDescent="0.25">
      <c r="A137" s="4">
        <v>717</v>
      </c>
      <c r="B137" s="18" t="s">
        <v>155</v>
      </c>
      <c r="C137" s="2">
        <v>2100</v>
      </c>
      <c r="D137" s="3">
        <v>23</v>
      </c>
      <c r="E137" s="4">
        <f t="shared" si="2"/>
        <v>2123</v>
      </c>
      <c r="F137" s="3">
        <v>517.29999999999995</v>
      </c>
      <c r="G137" s="5" t="s">
        <v>73</v>
      </c>
      <c r="H137" s="4">
        <v>150</v>
      </c>
      <c r="I137" s="2"/>
      <c r="J137" s="3"/>
      <c r="K137" s="7"/>
    </row>
    <row r="138" spans="1:11" x14ac:dyDescent="0.25">
      <c r="A138" s="4">
        <v>718</v>
      </c>
      <c r="B138" s="18" t="s">
        <v>156</v>
      </c>
      <c r="C138" s="2">
        <v>1942</v>
      </c>
      <c r="D138" s="3">
        <v>43</v>
      </c>
      <c r="E138" s="4">
        <f t="shared" si="2"/>
        <v>1985</v>
      </c>
      <c r="F138" s="3">
        <v>517.29999999999995</v>
      </c>
      <c r="G138" s="5" t="s">
        <v>73</v>
      </c>
      <c r="H138" s="4">
        <v>17</v>
      </c>
      <c r="I138" s="2"/>
      <c r="J138" s="3"/>
      <c r="K138" s="7"/>
    </row>
    <row r="139" spans="1:11" x14ac:dyDescent="0.25">
      <c r="A139" s="4">
        <v>719</v>
      </c>
      <c r="B139" s="18" t="s">
        <v>157</v>
      </c>
      <c r="C139" s="2">
        <v>1782</v>
      </c>
      <c r="D139" s="3">
        <v>64</v>
      </c>
      <c r="E139" s="4">
        <f t="shared" si="2"/>
        <v>1846</v>
      </c>
      <c r="F139" s="3">
        <v>465.3</v>
      </c>
      <c r="G139" s="5" t="s">
        <v>76</v>
      </c>
      <c r="H139" s="4"/>
      <c r="I139" s="2"/>
      <c r="J139" s="8">
        <v>782</v>
      </c>
      <c r="K139" s="9">
        <v>744</v>
      </c>
    </row>
    <row r="140" spans="1:11" x14ac:dyDescent="0.25">
      <c r="A140" s="4">
        <v>720</v>
      </c>
      <c r="B140" s="18" t="s">
        <v>158</v>
      </c>
      <c r="C140" s="2">
        <v>1782</v>
      </c>
      <c r="D140" s="3">
        <v>64</v>
      </c>
      <c r="E140" s="4">
        <f t="shared" si="2"/>
        <v>1846</v>
      </c>
      <c r="F140" s="3">
        <v>465.3</v>
      </c>
      <c r="G140" s="5" t="s">
        <v>76</v>
      </c>
      <c r="H140" s="4">
        <v>17</v>
      </c>
      <c r="I140" s="2"/>
      <c r="J140" s="3"/>
      <c r="K140" s="7"/>
    </row>
    <row r="141" spans="1:11" x14ac:dyDescent="0.25">
      <c r="A141" s="4">
        <v>721</v>
      </c>
      <c r="B141" s="18" t="s">
        <v>159</v>
      </c>
      <c r="C141" s="2">
        <v>1942</v>
      </c>
      <c r="D141" s="3">
        <v>43</v>
      </c>
      <c r="E141" s="4">
        <f t="shared" si="2"/>
        <v>1985</v>
      </c>
      <c r="F141" s="3">
        <v>517.29999999999995</v>
      </c>
      <c r="G141" s="5" t="s">
        <v>73</v>
      </c>
      <c r="H141" s="4">
        <v>150</v>
      </c>
      <c r="I141" s="2"/>
      <c r="J141" s="3"/>
      <c r="K141" s="7"/>
    </row>
    <row r="142" spans="1:11" x14ac:dyDescent="0.25">
      <c r="A142" s="4">
        <v>722</v>
      </c>
      <c r="B142" s="18" t="s">
        <v>160</v>
      </c>
      <c r="C142" s="2">
        <v>1692</v>
      </c>
      <c r="D142" s="3">
        <v>76</v>
      </c>
      <c r="E142" s="4">
        <f t="shared" si="2"/>
        <v>1768</v>
      </c>
      <c r="F142" s="3">
        <v>362.7</v>
      </c>
      <c r="G142" s="5" t="s">
        <v>78</v>
      </c>
      <c r="H142" s="4"/>
      <c r="I142" s="2"/>
      <c r="J142" s="8">
        <v>744</v>
      </c>
      <c r="K142" s="9">
        <v>744</v>
      </c>
    </row>
    <row r="143" spans="1:11" x14ac:dyDescent="0.25">
      <c r="A143" s="4">
        <v>723</v>
      </c>
      <c r="B143" s="18" t="s">
        <v>161</v>
      </c>
      <c r="C143" s="2">
        <v>1700</v>
      </c>
      <c r="D143" s="3">
        <v>75</v>
      </c>
      <c r="E143" s="4">
        <f t="shared" si="2"/>
        <v>1775</v>
      </c>
      <c r="F143" s="3">
        <v>310.7</v>
      </c>
      <c r="G143" s="5" t="s">
        <v>67</v>
      </c>
      <c r="H143" s="4"/>
      <c r="I143" s="2"/>
      <c r="J143" s="8">
        <v>769</v>
      </c>
      <c r="K143" s="9">
        <v>650</v>
      </c>
    </row>
    <row r="144" spans="1:11" x14ac:dyDescent="0.25">
      <c r="A144" s="4">
        <v>724</v>
      </c>
      <c r="B144" s="18" t="s">
        <v>162</v>
      </c>
      <c r="C144" s="2">
        <v>971</v>
      </c>
      <c r="D144" s="3">
        <v>214</v>
      </c>
      <c r="E144" s="4">
        <f t="shared" si="2"/>
        <v>1185</v>
      </c>
      <c r="F144" s="3"/>
      <c r="G144" s="5"/>
      <c r="H144" s="4"/>
      <c r="I144" s="2">
        <v>620</v>
      </c>
      <c r="J144" s="3"/>
      <c r="K144" s="7"/>
    </row>
    <row r="145" spans="1:11" x14ac:dyDescent="0.25">
      <c r="A145" s="4">
        <v>725</v>
      </c>
      <c r="B145" s="18" t="s">
        <v>163</v>
      </c>
      <c r="C145" s="2">
        <v>1592</v>
      </c>
      <c r="D145" s="3">
        <v>89</v>
      </c>
      <c r="E145" s="4">
        <f t="shared" si="2"/>
        <v>1681</v>
      </c>
      <c r="F145" s="3">
        <v>310.7</v>
      </c>
      <c r="G145" s="5" t="s">
        <v>67</v>
      </c>
      <c r="H145" s="4"/>
      <c r="I145" s="2"/>
      <c r="J145" s="8">
        <v>738</v>
      </c>
      <c r="K145" s="9">
        <v>744</v>
      </c>
    </row>
    <row r="146" spans="1:11" x14ac:dyDescent="0.25">
      <c r="A146" s="4">
        <v>726</v>
      </c>
      <c r="B146" s="18" t="s">
        <v>164</v>
      </c>
      <c r="C146" s="2">
        <v>1500</v>
      </c>
      <c r="D146" s="3">
        <v>101</v>
      </c>
      <c r="E146" s="4">
        <f t="shared" si="2"/>
        <v>1601</v>
      </c>
      <c r="F146" s="3"/>
      <c r="G146" s="5"/>
      <c r="H146" s="4">
        <v>150</v>
      </c>
      <c r="I146" s="2"/>
      <c r="J146" s="3"/>
      <c r="K146" s="7"/>
    </row>
    <row r="147" spans="1:11" x14ac:dyDescent="0.25">
      <c r="A147" s="4">
        <v>727</v>
      </c>
      <c r="B147" s="18" t="s">
        <v>165</v>
      </c>
      <c r="C147" s="2">
        <v>1600</v>
      </c>
      <c r="D147" s="3">
        <v>88</v>
      </c>
      <c r="E147" s="4">
        <f t="shared" si="2"/>
        <v>1688</v>
      </c>
      <c r="F147" s="3">
        <v>310.7</v>
      </c>
      <c r="G147" s="5" t="s">
        <v>67</v>
      </c>
      <c r="H147" s="4"/>
      <c r="I147" s="2"/>
      <c r="J147" s="8">
        <v>738</v>
      </c>
      <c r="K147" s="10">
        <v>650</v>
      </c>
    </row>
    <row r="148" spans="1:11" x14ac:dyDescent="0.25">
      <c r="A148" s="4">
        <v>728</v>
      </c>
      <c r="B148" s="18" t="s">
        <v>166</v>
      </c>
      <c r="C148" s="2">
        <v>1942</v>
      </c>
      <c r="D148" s="3">
        <v>43</v>
      </c>
      <c r="E148" s="4">
        <f t="shared" si="2"/>
        <v>1985</v>
      </c>
      <c r="F148" s="3">
        <v>517.29999999999995</v>
      </c>
      <c r="G148" s="5" t="s">
        <v>73</v>
      </c>
      <c r="H148" s="4">
        <v>17</v>
      </c>
      <c r="I148" s="2"/>
      <c r="J148" s="3"/>
      <c r="K148" s="7"/>
    </row>
    <row r="149" spans="1:11" x14ac:dyDescent="0.25">
      <c r="A149" s="4">
        <v>729</v>
      </c>
      <c r="B149" s="18" t="s">
        <v>167</v>
      </c>
      <c r="C149" s="2">
        <v>1692</v>
      </c>
      <c r="D149" s="3">
        <v>76</v>
      </c>
      <c r="E149" s="4">
        <f t="shared" si="2"/>
        <v>1768</v>
      </c>
      <c r="F149" s="3">
        <v>517.29999999999995</v>
      </c>
      <c r="G149" s="5" t="s">
        <v>73</v>
      </c>
      <c r="H149" s="4"/>
      <c r="I149" s="2"/>
      <c r="J149" s="3"/>
      <c r="K149" s="7"/>
    </row>
    <row r="150" spans="1:11" x14ac:dyDescent="0.25">
      <c r="A150" s="4">
        <v>730</v>
      </c>
      <c r="B150" s="18" t="s">
        <v>168</v>
      </c>
      <c r="C150" s="2">
        <v>1700</v>
      </c>
      <c r="D150" s="3">
        <v>75</v>
      </c>
      <c r="E150" s="4">
        <f t="shared" si="2"/>
        <v>1775</v>
      </c>
      <c r="F150" s="3">
        <v>517.29999999999995</v>
      </c>
      <c r="G150" s="5" t="s">
        <v>73</v>
      </c>
      <c r="H150" s="4"/>
      <c r="I150" s="2"/>
      <c r="J150" s="3"/>
      <c r="K150" s="7"/>
    </row>
    <row r="151" spans="1:11" x14ac:dyDescent="0.25">
      <c r="A151" s="4">
        <v>731</v>
      </c>
      <c r="B151" s="18" t="s">
        <v>169</v>
      </c>
      <c r="C151" s="2">
        <v>1592</v>
      </c>
      <c r="D151" s="3">
        <v>89</v>
      </c>
      <c r="E151" s="4">
        <f t="shared" si="2"/>
        <v>1681</v>
      </c>
      <c r="F151" s="3">
        <v>465.3</v>
      </c>
      <c r="G151" s="5" t="s">
        <v>76</v>
      </c>
      <c r="H151" s="4"/>
      <c r="I151" s="2"/>
      <c r="J151" s="3"/>
      <c r="K151" s="7"/>
    </row>
    <row r="152" spans="1:11" x14ac:dyDescent="0.25">
      <c r="A152" s="4">
        <v>735</v>
      </c>
      <c r="B152" s="18" t="s">
        <v>170</v>
      </c>
      <c r="C152" s="2">
        <v>971</v>
      </c>
      <c r="D152" s="3">
        <v>414.7</v>
      </c>
      <c r="E152" s="4">
        <f t="shared" si="2"/>
        <v>1385.7</v>
      </c>
      <c r="F152" s="3"/>
      <c r="G152" s="5"/>
      <c r="H152" s="4">
        <v>150</v>
      </c>
      <c r="I152" s="2"/>
      <c r="J152" s="3"/>
      <c r="K152" s="7"/>
    </row>
    <row r="153" spans="1:11" x14ac:dyDescent="0.25">
      <c r="A153" s="4">
        <v>736</v>
      </c>
      <c r="B153" s="18" t="s">
        <v>171</v>
      </c>
      <c r="C153" s="2">
        <v>1600</v>
      </c>
      <c r="D153" s="3">
        <v>88</v>
      </c>
      <c r="E153" s="4">
        <f t="shared" si="2"/>
        <v>1688</v>
      </c>
      <c r="F153" s="3">
        <v>517.29999999999995</v>
      </c>
      <c r="G153" s="5" t="s">
        <v>73</v>
      </c>
      <c r="H153" s="4"/>
      <c r="I153" s="2"/>
      <c r="J153" s="3"/>
      <c r="K153" s="7"/>
    </row>
    <row r="154" spans="1:11" x14ac:dyDescent="0.25">
      <c r="A154" s="4">
        <v>738</v>
      </c>
      <c r="B154" s="18" t="s">
        <v>172</v>
      </c>
      <c r="C154" s="2">
        <v>971</v>
      </c>
      <c r="D154" s="3">
        <v>414.7</v>
      </c>
      <c r="E154" s="4">
        <f t="shared" si="2"/>
        <v>1385.7</v>
      </c>
      <c r="F154" s="3"/>
      <c r="G154" s="5"/>
      <c r="H154" s="4">
        <v>17</v>
      </c>
      <c r="I154" s="2"/>
      <c r="J154" s="3"/>
      <c r="K154" s="7"/>
    </row>
    <row r="155" spans="1:11" x14ac:dyDescent="0.25">
      <c r="A155" s="4">
        <v>739</v>
      </c>
      <c r="B155" s="18" t="s">
        <v>173</v>
      </c>
      <c r="C155" s="2">
        <v>971</v>
      </c>
      <c r="D155" s="3">
        <v>414.7</v>
      </c>
      <c r="E155" s="4">
        <f t="shared" si="2"/>
        <v>1385.7</v>
      </c>
      <c r="F155" s="3"/>
      <c r="G155" s="5"/>
      <c r="H155" s="4">
        <v>150</v>
      </c>
      <c r="I155" s="2"/>
      <c r="J155" s="3"/>
      <c r="K155" s="7"/>
    </row>
    <row r="156" spans="1:11" x14ac:dyDescent="0.25">
      <c r="A156" s="4">
        <v>741</v>
      </c>
      <c r="B156" s="18" t="s">
        <v>174</v>
      </c>
      <c r="C156" s="2">
        <v>1300</v>
      </c>
      <c r="D156" s="3">
        <v>127</v>
      </c>
      <c r="E156" s="4">
        <f t="shared" si="2"/>
        <v>1427</v>
      </c>
      <c r="F156" s="3">
        <v>310.7</v>
      </c>
      <c r="G156" s="5" t="s">
        <v>67</v>
      </c>
      <c r="H156" s="4"/>
      <c r="I156" s="2"/>
      <c r="J156" s="3"/>
      <c r="K156" s="9">
        <v>580</v>
      </c>
    </row>
    <row r="157" spans="1:11" x14ac:dyDescent="0.25">
      <c r="A157" s="4">
        <v>742</v>
      </c>
      <c r="B157" s="18" t="s">
        <v>175</v>
      </c>
      <c r="C157" s="2">
        <v>971</v>
      </c>
      <c r="D157" s="3">
        <v>414.7</v>
      </c>
      <c r="E157" s="4">
        <f t="shared" si="2"/>
        <v>1385.7</v>
      </c>
      <c r="F157" s="3"/>
      <c r="G157" s="5"/>
      <c r="H157" s="4">
        <v>150</v>
      </c>
      <c r="I157" s="2"/>
      <c r="J157" s="3"/>
      <c r="K157" s="7"/>
    </row>
    <row r="158" spans="1:11" x14ac:dyDescent="0.25">
      <c r="A158" s="4">
        <v>744</v>
      </c>
      <c r="B158" s="18" t="s">
        <v>176</v>
      </c>
      <c r="C158" s="2">
        <v>1400</v>
      </c>
      <c r="D158" s="3">
        <v>114</v>
      </c>
      <c r="E158" s="4">
        <f t="shared" si="2"/>
        <v>1514</v>
      </c>
      <c r="F158" s="3">
        <v>310.7</v>
      </c>
      <c r="G158" s="5" t="s">
        <v>67</v>
      </c>
      <c r="H158" s="4"/>
      <c r="I158" s="2"/>
      <c r="J158" s="3"/>
      <c r="K158" s="9">
        <v>580</v>
      </c>
    </row>
    <row r="159" spans="1:11" x14ac:dyDescent="0.25">
      <c r="A159" s="4">
        <v>745</v>
      </c>
      <c r="B159" s="18" t="s">
        <v>177</v>
      </c>
      <c r="C159" s="2">
        <v>1450</v>
      </c>
      <c r="D159" s="3">
        <v>107</v>
      </c>
      <c r="E159" s="4">
        <f t="shared" si="2"/>
        <v>1557</v>
      </c>
      <c r="F159" s="3"/>
      <c r="G159" s="5"/>
      <c r="H159" s="4"/>
      <c r="I159" s="2"/>
      <c r="J159" s="3"/>
      <c r="K159" s="7"/>
    </row>
    <row r="160" spans="1:11" x14ac:dyDescent="0.25">
      <c r="A160" s="4">
        <v>746</v>
      </c>
      <c r="B160" s="18" t="s">
        <v>178</v>
      </c>
      <c r="C160" s="2">
        <v>971</v>
      </c>
      <c r="D160" s="3">
        <v>414.7</v>
      </c>
      <c r="E160" s="4">
        <f t="shared" si="2"/>
        <v>1385.7</v>
      </c>
      <c r="F160" s="3"/>
      <c r="G160" s="5"/>
      <c r="H160" s="4"/>
      <c r="I160" s="2"/>
      <c r="J160" s="3"/>
      <c r="K160" s="7"/>
    </row>
    <row r="161" spans="1:11" x14ac:dyDescent="0.25">
      <c r="A161" s="4">
        <v>747</v>
      </c>
      <c r="B161" s="18" t="s">
        <v>179</v>
      </c>
      <c r="C161" s="2">
        <v>971</v>
      </c>
      <c r="D161" s="3">
        <v>414.7</v>
      </c>
      <c r="E161" s="4">
        <f t="shared" si="2"/>
        <v>1385.7</v>
      </c>
      <c r="F161" s="3"/>
      <c r="G161" s="5"/>
      <c r="H161" s="4"/>
      <c r="I161" s="2"/>
      <c r="J161" s="3"/>
      <c r="K161" s="7"/>
    </row>
    <row r="162" spans="1:11" x14ac:dyDescent="0.25">
      <c r="A162" s="4">
        <v>748</v>
      </c>
      <c r="B162" s="18" t="s">
        <v>180</v>
      </c>
      <c r="C162" s="2">
        <v>1250</v>
      </c>
      <c r="D162" s="3">
        <v>134</v>
      </c>
      <c r="E162" s="4">
        <f t="shared" si="2"/>
        <v>1384</v>
      </c>
      <c r="F162" s="3">
        <v>310.7</v>
      </c>
      <c r="G162" s="5" t="s">
        <v>67</v>
      </c>
      <c r="H162" s="4"/>
      <c r="I162" s="2"/>
      <c r="J162" s="3"/>
      <c r="K162" s="7"/>
    </row>
    <row r="163" spans="1:11" x14ac:dyDescent="0.25">
      <c r="A163" s="4">
        <v>749</v>
      </c>
      <c r="B163" s="18" t="s">
        <v>181</v>
      </c>
      <c r="C163" s="2">
        <v>971</v>
      </c>
      <c r="D163" s="3">
        <v>414.7</v>
      </c>
      <c r="E163" s="4">
        <f t="shared" si="2"/>
        <v>1385.7</v>
      </c>
      <c r="F163" s="3"/>
      <c r="G163" s="5"/>
      <c r="H163" s="4"/>
      <c r="I163" s="2"/>
      <c r="J163" s="3"/>
      <c r="K163" s="9">
        <v>510</v>
      </c>
    </row>
    <row r="164" spans="1:11" x14ac:dyDescent="0.25">
      <c r="A164" s="4">
        <v>750</v>
      </c>
      <c r="B164" s="18" t="s">
        <v>96</v>
      </c>
      <c r="C164" s="2">
        <v>971</v>
      </c>
      <c r="D164" s="3">
        <v>414.7</v>
      </c>
      <c r="E164" s="4">
        <f t="shared" si="2"/>
        <v>1385.7</v>
      </c>
      <c r="F164" s="3"/>
      <c r="G164" s="5"/>
      <c r="H164" s="4"/>
      <c r="I164" s="2"/>
      <c r="J164" s="3"/>
      <c r="K164" s="7"/>
    </row>
    <row r="165" spans="1:11" x14ac:dyDescent="0.25">
      <c r="A165" s="4">
        <v>751</v>
      </c>
      <c r="B165" s="18" t="s">
        <v>182</v>
      </c>
      <c r="C165" s="2">
        <v>1400</v>
      </c>
      <c r="D165" s="3">
        <v>114</v>
      </c>
      <c r="E165" s="4">
        <f t="shared" si="2"/>
        <v>1514</v>
      </c>
      <c r="F165" s="3">
        <v>310.7</v>
      </c>
      <c r="G165" s="5">
        <v>388</v>
      </c>
      <c r="H165" s="4">
        <v>17</v>
      </c>
      <c r="I165" s="2"/>
      <c r="J165" s="3"/>
      <c r="K165" s="7"/>
    </row>
    <row r="166" spans="1:11" x14ac:dyDescent="0.25">
      <c r="A166" s="4">
        <v>752</v>
      </c>
      <c r="B166" s="18" t="s">
        <v>183</v>
      </c>
      <c r="C166" s="2">
        <v>2913</v>
      </c>
      <c r="D166" s="3">
        <v>0</v>
      </c>
      <c r="E166" s="4">
        <f t="shared" si="2"/>
        <v>2913</v>
      </c>
      <c r="F166" s="3"/>
      <c r="G166" s="5"/>
      <c r="H166" s="4">
        <v>20</v>
      </c>
      <c r="I166" s="2"/>
      <c r="J166" s="3"/>
      <c r="K166" s="7"/>
    </row>
    <row r="167" spans="1:11" x14ac:dyDescent="0.25">
      <c r="A167" s="4">
        <v>753</v>
      </c>
      <c r="B167" s="18" t="s">
        <v>184</v>
      </c>
      <c r="C167" s="2">
        <v>2913</v>
      </c>
      <c r="D167" s="3">
        <v>0</v>
      </c>
      <c r="E167" s="4">
        <f t="shared" si="2"/>
        <v>2913</v>
      </c>
      <c r="F167" s="3"/>
      <c r="G167" s="5"/>
      <c r="H167" s="4"/>
      <c r="I167" s="2"/>
      <c r="J167" s="3"/>
      <c r="K167" s="7"/>
    </row>
    <row r="168" spans="1:11" x14ac:dyDescent="0.25">
      <c r="A168" s="4">
        <v>754</v>
      </c>
      <c r="B168" s="18" t="s">
        <v>185</v>
      </c>
      <c r="C168" s="2">
        <v>971</v>
      </c>
      <c r="D168" s="3">
        <v>414.7</v>
      </c>
      <c r="E168" s="4">
        <f t="shared" si="2"/>
        <v>1385.7</v>
      </c>
      <c r="F168" s="3"/>
      <c r="G168" s="5"/>
      <c r="H168" s="4"/>
      <c r="I168" s="2"/>
      <c r="J168" s="3"/>
      <c r="K168" s="7"/>
    </row>
    <row r="169" spans="1:11" x14ac:dyDescent="0.25">
      <c r="A169" s="4">
        <v>755</v>
      </c>
      <c r="B169" s="18" t="s">
        <v>186</v>
      </c>
      <c r="C169" s="2">
        <v>971</v>
      </c>
      <c r="D169" s="3">
        <v>414.7</v>
      </c>
      <c r="E169" s="4">
        <f t="shared" si="2"/>
        <v>1385.7</v>
      </c>
      <c r="F169" s="3"/>
      <c r="G169" s="5"/>
      <c r="H169" s="4"/>
      <c r="I169" s="2"/>
      <c r="J169" s="3"/>
      <c r="K169" s="7"/>
    </row>
    <row r="170" spans="1:11" x14ac:dyDescent="0.25">
      <c r="A170" s="4">
        <v>756</v>
      </c>
      <c r="B170" s="18" t="s">
        <v>187</v>
      </c>
      <c r="C170" s="2">
        <v>1290</v>
      </c>
      <c r="D170" s="3">
        <v>128</v>
      </c>
      <c r="E170" s="4">
        <f t="shared" si="2"/>
        <v>1418</v>
      </c>
      <c r="F170" s="3">
        <v>309.3</v>
      </c>
      <c r="G170" s="5">
        <v>388</v>
      </c>
      <c r="H170" s="4"/>
      <c r="I170" s="2"/>
      <c r="J170" s="3"/>
      <c r="K170" s="7"/>
    </row>
    <row r="171" spans="1:11" x14ac:dyDescent="0.25">
      <c r="A171" s="4">
        <v>758</v>
      </c>
      <c r="B171" s="18" t="s">
        <v>188</v>
      </c>
      <c r="C171" s="2">
        <v>971</v>
      </c>
      <c r="D171" s="3">
        <v>414.7</v>
      </c>
      <c r="E171" s="4">
        <f t="shared" si="2"/>
        <v>1385.7</v>
      </c>
      <c r="F171" s="3"/>
      <c r="G171" s="5"/>
      <c r="H171" s="4"/>
      <c r="I171" s="2"/>
      <c r="J171" s="3"/>
      <c r="K171" s="7"/>
    </row>
    <row r="172" spans="1:11" x14ac:dyDescent="0.25">
      <c r="A172" s="4">
        <v>759</v>
      </c>
      <c r="B172" s="18" t="s">
        <v>189</v>
      </c>
      <c r="C172" s="2"/>
      <c r="D172" s="3"/>
      <c r="E172" s="4"/>
      <c r="F172" s="3"/>
      <c r="G172" s="5"/>
      <c r="H172" s="4"/>
      <c r="I172" s="2"/>
      <c r="J172" s="3"/>
      <c r="K172" s="7"/>
    </row>
    <row r="173" spans="1:11" x14ac:dyDescent="0.25">
      <c r="A173" s="4">
        <v>760</v>
      </c>
      <c r="B173" s="18" t="s">
        <v>190</v>
      </c>
      <c r="C173" s="2">
        <v>1400</v>
      </c>
      <c r="D173" s="3">
        <v>114</v>
      </c>
      <c r="E173" s="4">
        <f t="shared" ref="E173:E236" si="3">C173+D173</f>
        <v>1514</v>
      </c>
      <c r="F173" s="3"/>
      <c r="G173" s="5"/>
      <c r="H173" s="4"/>
      <c r="I173" s="2"/>
      <c r="J173" s="3"/>
      <c r="K173" s="7"/>
    </row>
    <row r="174" spans="1:11" x14ac:dyDescent="0.25">
      <c r="A174" s="4">
        <v>761</v>
      </c>
      <c r="B174" s="18" t="s">
        <v>191</v>
      </c>
      <c r="C174" s="2">
        <v>1942</v>
      </c>
      <c r="D174" s="3">
        <v>43</v>
      </c>
      <c r="E174" s="4">
        <f t="shared" si="3"/>
        <v>1985</v>
      </c>
      <c r="F174" s="3">
        <v>362.7</v>
      </c>
      <c r="G174" s="5">
        <v>647</v>
      </c>
      <c r="H174" s="4">
        <v>150</v>
      </c>
      <c r="I174" s="2"/>
      <c r="J174" s="3"/>
      <c r="K174" s="7"/>
    </row>
    <row r="175" spans="1:11" x14ac:dyDescent="0.25">
      <c r="A175" s="4">
        <v>763</v>
      </c>
      <c r="B175" s="18" t="s">
        <v>192</v>
      </c>
      <c r="C175" s="2">
        <v>971</v>
      </c>
      <c r="D175" s="3">
        <v>414.7</v>
      </c>
      <c r="E175" s="4">
        <f t="shared" si="3"/>
        <v>1385.7</v>
      </c>
      <c r="F175" s="3"/>
      <c r="G175" s="5"/>
      <c r="H175" s="4"/>
      <c r="I175" s="2"/>
      <c r="J175" s="3"/>
      <c r="K175" s="7"/>
    </row>
    <row r="176" spans="1:11" x14ac:dyDescent="0.25">
      <c r="A176" s="4">
        <v>764</v>
      </c>
      <c r="B176" s="18" t="s">
        <v>193</v>
      </c>
      <c r="C176" s="2">
        <v>971</v>
      </c>
      <c r="D176" s="3">
        <v>414.7</v>
      </c>
      <c r="E176" s="4">
        <f t="shared" si="3"/>
        <v>1385.7</v>
      </c>
      <c r="F176" s="3"/>
      <c r="G176" s="5"/>
      <c r="H176" s="4"/>
      <c r="I176" s="2"/>
      <c r="J176" s="3"/>
      <c r="K176" s="7"/>
    </row>
    <row r="177" spans="1:11" x14ac:dyDescent="0.25">
      <c r="A177" s="4">
        <v>765</v>
      </c>
      <c r="B177" s="18" t="s">
        <v>194</v>
      </c>
      <c r="C177" s="2">
        <v>971</v>
      </c>
      <c r="D177" s="3">
        <v>214</v>
      </c>
      <c r="E177" s="4">
        <f t="shared" si="3"/>
        <v>1185</v>
      </c>
      <c r="F177" s="3"/>
      <c r="G177" s="5"/>
      <c r="H177" s="4"/>
      <c r="I177" s="2">
        <v>155</v>
      </c>
      <c r="J177" s="3"/>
      <c r="K177" s="7"/>
    </row>
    <row r="178" spans="1:11" x14ac:dyDescent="0.25">
      <c r="A178" s="4">
        <v>767</v>
      </c>
      <c r="B178" s="18" t="s">
        <v>195</v>
      </c>
      <c r="C178" s="2">
        <v>1700</v>
      </c>
      <c r="D178" s="3">
        <v>75</v>
      </c>
      <c r="E178" s="4">
        <f t="shared" si="3"/>
        <v>1775</v>
      </c>
      <c r="F178" s="3">
        <v>309.3</v>
      </c>
      <c r="G178" s="5">
        <v>388</v>
      </c>
      <c r="H178" s="4">
        <v>150</v>
      </c>
      <c r="I178" s="2"/>
      <c r="J178" s="3"/>
      <c r="K178" s="7"/>
    </row>
    <row r="179" spans="1:11" x14ac:dyDescent="0.25">
      <c r="A179" s="4">
        <v>768</v>
      </c>
      <c r="B179" s="18" t="s">
        <v>196</v>
      </c>
      <c r="C179" s="2">
        <v>971</v>
      </c>
      <c r="D179" s="3">
        <v>414.7</v>
      </c>
      <c r="E179" s="4">
        <f t="shared" si="3"/>
        <v>1385.7</v>
      </c>
      <c r="F179" s="3"/>
      <c r="G179" s="5"/>
      <c r="H179" s="4">
        <v>150</v>
      </c>
      <c r="I179" s="2"/>
      <c r="J179" s="3"/>
      <c r="K179" s="7"/>
    </row>
    <row r="180" spans="1:11" x14ac:dyDescent="0.25">
      <c r="A180" s="4">
        <v>769</v>
      </c>
      <c r="B180" s="18" t="s">
        <v>197</v>
      </c>
      <c r="C180" s="2">
        <v>2913</v>
      </c>
      <c r="D180" s="3">
        <v>0</v>
      </c>
      <c r="E180" s="4">
        <f t="shared" si="3"/>
        <v>2913</v>
      </c>
      <c r="F180" s="3"/>
      <c r="G180" s="5"/>
      <c r="H180" s="4"/>
      <c r="I180" s="2"/>
      <c r="J180" s="3"/>
      <c r="K180" s="7"/>
    </row>
    <row r="181" spans="1:11" x14ac:dyDescent="0.25">
      <c r="A181" s="4">
        <v>770</v>
      </c>
      <c r="B181" s="18" t="s">
        <v>198</v>
      </c>
      <c r="C181" s="2">
        <v>2913</v>
      </c>
      <c r="D181" s="3">
        <v>0</v>
      </c>
      <c r="E181" s="4">
        <f t="shared" si="3"/>
        <v>2913</v>
      </c>
      <c r="F181" s="3">
        <v>776</v>
      </c>
      <c r="G181" s="5">
        <v>776</v>
      </c>
      <c r="H181" s="4"/>
      <c r="I181" s="2"/>
      <c r="J181" s="3"/>
      <c r="K181" s="7"/>
    </row>
    <row r="182" spans="1:11" x14ac:dyDescent="0.25">
      <c r="A182" s="4">
        <v>771</v>
      </c>
      <c r="B182" s="18" t="s">
        <v>199</v>
      </c>
      <c r="C182" s="2">
        <v>3146</v>
      </c>
      <c r="D182" s="3">
        <v>0</v>
      </c>
      <c r="E182" s="4">
        <f t="shared" si="3"/>
        <v>3146</v>
      </c>
      <c r="F182" s="3"/>
      <c r="G182" s="5">
        <v>776</v>
      </c>
      <c r="H182" s="4"/>
      <c r="I182" s="2"/>
      <c r="J182" s="3"/>
      <c r="K182" s="7"/>
    </row>
    <row r="183" spans="1:11" ht="25.5" x14ac:dyDescent="0.25">
      <c r="A183" s="4">
        <v>773</v>
      </c>
      <c r="B183" s="18" t="s">
        <v>200</v>
      </c>
      <c r="C183" s="2">
        <v>971</v>
      </c>
      <c r="D183" s="3">
        <v>414.7</v>
      </c>
      <c r="E183" s="4">
        <f t="shared" si="3"/>
        <v>1385.7</v>
      </c>
      <c r="F183" s="3"/>
      <c r="G183" s="5"/>
      <c r="H183" s="4">
        <v>150</v>
      </c>
      <c r="I183" s="2"/>
      <c r="J183" s="3"/>
      <c r="K183" s="7"/>
    </row>
    <row r="184" spans="1:11" ht="25.5" x14ac:dyDescent="0.25">
      <c r="A184" s="4">
        <v>774</v>
      </c>
      <c r="B184" s="18" t="s">
        <v>201</v>
      </c>
      <c r="C184" s="2">
        <v>971</v>
      </c>
      <c r="D184" s="3">
        <v>414.7</v>
      </c>
      <c r="E184" s="4">
        <f t="shared" si="3"/>
        <v>1385.7</v>
      </c>
      <c r="F184" s="3"/>
      <c r="G184" s="5"/>
      <c r="H184" s="4">
        <v>150</v>
      </c>
      <c r="I184" s="2"/>
      <c r="J184" s="3"/>
      <c r="K184" s="7"/>
    </row>
    <row r="185" spans="1:11" x14ac:dyDescent="0.25">
      <c r="A185" s="4">
        <v>775</v>
      </c>
      <c r="B185" s="18" t="s">
        <v>202</v>
      </c>
      <c r="C185" s="2">
        <v>1400</v>
      </c>
      <c r="D185" s="3">
        <v>114</v>
      </c>
      <c r="E185" s="4">
        <f t="shared" si="3"/>
        <v>1514</v>
      </c>
      <c r="F185" s="3">
        <v>310.7</v>
      </c>
      <c r="G185" s="5">
        <v>388</v>
      </c>
      <c r="H185" s="4">
        <v>150</v>
      </c>
      <c r="I185" s="2"/>
      <c r="J185" s="3"/>
      <c r="K185" s="7"/>
    </row>
    <row r="186" spans="1:11" x14ac:dyDescent="0.25">
      <c r="A186" s="4">
        <v>776</v>
      </c>
      <c r="B186" s="18" t="s">
        <v>203</v>
      </c>
      <c r="C186" s="2">
        <v>971</v>
      </c>
      <c r="D186" s="3">
        <v>414.7</v>
      </c>
      <c r="E186" s="4">
        <f t="shared" si="3"/>
        <v>1385.7</v>
      </c>
      <c r="F186" s="3"/>
      <c r="G186" s="5"/>
      <c r="H186" s="4"/>
      <c r="I186" s="2"/>
      <c r="J186" s="3"/>
      <c r="K186" s="7"/>
    </row>
    <row r="187" spans="1:11" x14ac:dyDescent="0.25">
      <c r="A187" s="4">
        <v>777</v>
      </c>
      <c r="B187" s="18" t="s">
        <v>204</v>
      </c>
      <c r="C187" s="2">
        <v>2913</v>
      </c>
      <c r="D187" s="3">
        <v>0</v>
      </c>
      <c r="E187" s="4">
        <f t="shared" si="3"/>
        <v>2913</v>
      </c>
      <c r="F187" s="3"/>
      <c r="G187" s="5"/>
      <c r="H187" s="4"/>
      <c r="I187" s="2"/>
      <c r="J187" s="3"/>
      <c r="K187" s="7"/>
    </row>
    <row r="188" spans="1:11" x14ac:dyDescent="0.25">
      <c r="A188" s="4">
        <v>778</v>
      </c>
      <c r="B188" s="18" t="s">
        <v>205</v>
      </c>
      <c r="C188" s="2">
        <v>1692</v>
      </c>
      <c r="D188" s="3">
        <v>76</v>
      </c>
      <c r="E188" s="4">
        <f t="shared" si="3"/>
        <v>1768</v>
      </c>
      <c r="F188" s="3">
        <v>362.7</v>
      </c>
      <c r="G188" s="5">
        <v>453</v>
      </c>
      <c r="H188" s="4">
        <v>17</v>
      </c>
      <c r="I188" s="2"/>
      <c r="J188" s="3"/>
      <c r="K188" s="7"/>
    </row>
    <row r="189" spans="1:11" x14ac:dyDescent="0.25">
      <c r="A189" s="4">
        <v>779</v>
      </c>
      <c r="B189" s="18" t="s">
        <v>206</v>
      </c>
      <c r="C189" s="2">
        <v>853</v>
      </c>
      <c r="D189" s="3">
        <v>414.7</v>
      </c>
      <c r="E189" s="4">
        <f t="shared" si="3"/>
        <v>1267.7</v>
      </c>
      <c r="F189" s="3"/>
      <c r="G189" s="5"/>
      <c r="H189" s="4"/>
      <c r="I189" s="2"/>
      <c r="J189" s="3"/>
      <c r="K189" s="7"/>
    </row>
    <row r="190" spans="1:11" x14ac:dyDescent="0.25">
      <c r="A190" s="4">
        <v>780</v>
      </c>
      <c r="B190" s="18" t="s">
        <v>207</v>
      </c>
      <c r="C190" s="2">
        <v>3146</v>
      </c>
      <c r="D190" s="3">
        <v>0</v>
      </c>
      <c r="E190" s="4">
        <f t="shared" si="3"/>
        <v>3146</v>
      </c>
      <c r="F190" s="3"/>
      <c r="G190" s="5"/>
      <c r="H190" s="4"/>
      <c r="I190" s="2"/>
      <c r="J190" s="3"/>
      <c r="K190" s="7"/>
    </row>
    <row r="191" spans="1:11" x14ac:dyDescent="0.25">
      <c r="A191" s="4">
        <v>781</v>
      </c>
      <c r="B191" s="18" t="s">
        <v>208</v>
      </c>
      <c r="C191" s="2">
        <v>2288</v>
      </c>
      <c r="D191" s="3">
        <v>0</v>
      </c>
      <c r="E191" s="4">
        <f t="shared" si="3"/>
        <v>2288</v>
      </c>
      <c r="F191" s="3"/>
      <c r="G191" s="5"/>
      <c r="H191" s="4"/>
      <c r="I191" s="2"/>
      <c r="J191" s="3"/>
      <c r="K191" s="7"/>
    </row>
    <row r="192" spans="1:11" x14ac:dyDescent="0.25">
      <c r="A192" s="4">
        <v>783</v>
      </c>
      <c r="B192" s="18" t="s">
        <v>209</v>
      </c>
      <c r="C192" s="2">
        <v>690</v>
      </c>
      <c r="D192" s="3">
        <v>414.7</v>
      </c>
      <c r="E192" s="4">
        <f t="shared" si="3"/>
        <v>1104.7</v>
      </c>
      <c r="F192" s="3"/>
      <c r="G192" s="5"/>
      <c r="H192" s="4"/>
      <c r="I192" s="2"/>
      <c r="J192" s="3"/>
      <c r="K192" s="7"/>
    </row>
    <row r="193" spans="1:11" x14ac:dyDescent="0.25">
      <c r="A193" s="4">
        <v>787</v>
      </c>
      <c r="B193" s="18" t="s">
        <v>210</v>
      </c>
      <c r="C193" s="2">
        <v>1700</v>
      </c>
      <c r="D193" s="3">
        <v>75</v>
      </c>
      <c r="E193" s="4">
        <f t="shared" si="3"/>
        <v>1775</v>
      </c>
      <c r="F193" s="3">
        <v>310.7</v>
      </c>
      <c r="G193" s="5">
        <v>388</v>
      </c>
      <c r="H193" s="4">
        <v>17</v>
      </c>
      <c r="I193" s="2"/>
      <c r="J193" s="3"/>
      <c r="K193" s="7"/>
    </row>
    <row r="194" spans="1:11" x14ac:dyDescent="0.25">
      <c r="A194" s="4">
        <v>788</v>
      </c>
      <c r="B194" s="18" t="s">
        <v>211</v>
      </c>
      <c r="C194" s="2">
        <v>644</v>
      </c>
      <c r="D194" s="3">
        <v>414.7</v>
      </c>
      <c r="E194" s="4">
        <f t="shared" si="3"/>
        <v>1058.7</v>
      </c>
      <c r="F194" s="3"/>
      <c r="G194" s="5"/>
      <c r="H194" s="4"/>
      <c r="I194" s="2"/>
      <c r="J194" s="3"/>
      <c r="K194" s="7"/>
    </row>
    <row r="195" spans="1:11" x14ac:dyDescent="0.25">
      <c r="A195" s="4">
        <v>790</v>
      </c>
      <c r="B195" s="18" t="s">
        <v>212</v>
      </c>
      <c r="C195" s="2">
        <v>971</v>
      </c>
      <c r="D195" s="3">
        <v>414.7</v>
      </c>
      <c r="E195" s="4">
        <f t="shared" si="3"/>
        <v>1385.7</v>
      </c>
      <c r="F195" s="3"/>
      <c r="G195" s="5"/>
      <c r="H195" s="4">
        <v>17</v>
      </c>
      <c r="I195" s="2"/>
      <c r="J195" s="3"/>
      <c r="K195" s="7"/>
    </row>
    <row r="196" spans="1:11" x14ac:dyDescent="0.25">
      <c r="A196" s="4">
        <v>791</v>
      </c>
      <c r="B196" s="18" t="s">
        <v>213</v>
      </c>
      <c r="C196" s="2">
        <v>2913</v>
      </c>
      <c r="D196" s="3">
        <v>0</v>
      </c>
      <c r="E196" s="4">
        <f t="shared" si="3"/>
        <v>2913</v>
      </c>
      <c r="F196" s="3">
        <v>776</v>
      </c>
      <c r="G196" s="5">
        <v>776</v>
      </c>
      <c r="H196" s="4">
        <v>17</v>
      </c>
      <c r="I196" s="2"/>
      <c r="J196" s="3"/>
      <c r="K196" s="7"/>
    </row>
    <row r="197" spans="1:11" x14ac:dyDescent="0.25">
      <c r="A197" s="4">
        <v>793</v>
      </c>
      <c r="B197" s="18" t="s">
        <v>214</v>
      </c>
      <c r="C197" s="2">
        <v>2913</v>
      </c>
      <c r="D197" s="3">
        <v>0</v>
      </c>
      <c r="E197" s="4">
        <f t="shared" si="3"/>
        <v>2913</v>
      </c>
      <c r="F197" s="3">
        <v>776</v>
      </c>
      <c r="G197" s="5">
        <v>776</v>
      </c>
      <c r="H197" s="4"/>
      <c r="I197" s="2"/>
      <c r="J197" s="3"/>
      <c r="K197" s="7"/>
    </row>
    <row r="198" spans="1:11" x14ac:dyDescent="0.25">
      <c r="A198" s="4">
        <v>794</v>
      </c>
      <c r="B198" s="18" t="s">
        <v>215</v>
      </c>
      <c r="C198" s="2">
        <v>1840</v>
      </c>
      <c r="D198" s="3">
        <v>57</v>
      </c>
      <c r="E198" s="4">
        <f t="shared" si="3"/>
        <v>1897</v>
      </c>
      <c r="F198" s="3">
        <v>465.3</v>
      </c>
      <c r="G198" s="5">
        <v>647</v>
      </c>
      <c r="H198" s="4"/>
      <c r="I198" s="2"/>
      <c r="J198" s="3"/>
      <c r="K198" s="9">
        <v>744</v>
      </c>
    </row>
    <row r="199" spans="1:11" x14ac:dyDescent="0.25">
      <c r="A199" s="4">
        <v>795</v>
      </c>
      <c r="B199" s="18" t="s">
        <v>216</v>
      </c>
      <c r="C199" s="2">
        <v>1610</v>
      </c>
      <c r="D199" s="3">
        <v>87</v>
      </c>
      <c r="E199" s="4">
        <f t="shared" si="3"/>
        <v>1697</v>
      </c>
      <c r="F199" s="3">
        <v>310</v>
      </c>
      <c r="G199" s="5">
        <v>388</v>
      </c>
      <c r="H199" s="4"/>
      <c r="I199" s="2"/>
      <c r="J199" s="3"/>
      <c r="K199" s="10">
        <v>650</v>
      </c>
    </row>
    <row r="200" spans="1:11" x14ac:dyDescent="0.25">
      <c r="A200" s="4">
        <v>796</v>
      </c>
      <c r="B200" s="18" t="s">
        <v>217</v>
      </c>
      <c r="C200" s="2">
        <v>1340</v>
      </c>
      <c r="D200" s="3">
        <v>122</v>
      </c>
      <c r="E200" s="4">
        <f t="shared" si="3"/>
        <v>1462</v>
      </c>
      <c r="F200" s="3">
        <v>310</v>
      </c>
      <c r="G200" s="5">
        <v>388</v>
      </c>
      <c r="H200" s="4"/>
      <c r="I200" s="2"/>
      <c r="J200" s="3"/>
      <c r="K200" s="7"/>
    </row>
    <row r="201" spans="1:11" x14ac:dyDescent="0.25">
      <c r="A201" s="4">
        <v>797</v>
      </c>
      <c r="B201" s="18" t="s">
        <v>218</v>
      </c>
      <c r="C201" s="2">
        <v>1170</v>
      </c>
      <c r="D201" s="3">
        <v>144</v>
      </c>
      <c r="E201" s="4">
        <f t="shared" si="3"/>
        <v>1314</v>
      </c>
      <c r="F201" s="3"/>
      <c r="G201" s="5"/>
      <c r="H201" s="4"/>
      <c r="I201" s="2"/>
      <c r="J201" s="3"/>
      <c r="K201" s="7"/>
    </row>
    <row r="202" spans="1:11" x14ac:dyDescent="0.25">
      <c r="A202" s="4">
        <v>799</v>
      </c>
      <c r="B202" s="18" t="s">
        <v>219</v>
      </c>
      <c r="C202" s="2">
        <v>1480</v>
      </c>
      <c r="D202" s="3">
        <v>104</v>
      </c>
      <c r="E202" s="4">
        <f t="shared" si="3"/>
        <v>1584</v>
      </c>
      <c r="F202" s="3"/>
      <c r="G202" s="5"/>
      <c r="H202" s="4"/>
      <c r="I202" s="2"/>
      <c r="J202" s="3"/>
      <c r="K202" s="7"/>
    </row>
    <row r="203" spans="1:11" x14ac:dyDescent="0.25">
      <c r="A203" s="4">
        <v>800</v>
      </c>
      <c r="B203" s="18" t="s">
        <v>220</v>
      </c>
      <c r="C203" s="2">
        <v>1942</v>
      </c>
      <c r="D203" s="3">
        <v>43</v>
      </c>
      <c r="E203" s="4">
        <f t="shared" si="3"/>
        <v>1985</v>
      </c>
      <c r="F203" s="3">
        <v>310</v>
      </c>
      <c r="G203" s="5">
        <v>388</v>
      </c>
      <c r="H203" s="4">
        <v>17</v>
      </c>
      <c r="I203" s="2">
        <v>223</v>
      </c>
      <c r="J203" s="3"/>
      <c r="K203" s="7"/>
    </row>
    <row r="204" spans="1:11" x14ac:dyDescent="0.25">
      <c r="A204" s="4">
        <v>802</v>
      </c>
      <c r="B204" s="18" t="s">
        <v>221</v>
      </c>
      <c r="C204" s="2">
        <v>1700</v>
      </c>
      <c r="D204" s="3">
        <v>75</v>
      </c>
      <c r="E204" s="4">
        <f t="shared" si="3"/>
        <v>1775</v>
      </c>
      <c r="F204" s="3">
        <v>310</v>
      </c>
      <c r="G204" s="5">
        <v>388</v>
      </c>
      <c r="H204" s="4">
        <v>17</v>
      </c>
      <c r="I204" s="2">
        <v>211</v>
      </c>
      <c r="J204" s="3"/>
      <c r="K204" s="7"/>
    </row>
    <row r="205" spans="1:11" x14ac:dyDescent="0.25">
      <c r="A205" s="4">
        <v>803</v>
      </c>
      <c r="B205" s="18" t="s">
        <v>222</v>
      </c>
      <c r="C205" s="2">
        <v>971</v>
      </c>
      <c r="D205" s="3">
        <v>214</v>
      </c>
      <c r="E205" s="4">
        <f t="shared" si="3"/>
        <v>1185</v>
      </c>
      <c r="F205" s="3"/>
      <c r="G205" s="5"/>
      <c r="H205" s="4">
        <v>17</v>
      </c>
      <c r="I205" s="2">
        <v>413</v>
      </c>
      <c r="J205" s="3"/>
      <c r="K205" s="7"/>
    </row>
    <row r="206" spans="1:11" x14ac:dyDescent="0.25">
      <c r="A206" s="4">
        <v>804</v>
      </c>
      <c r="B206" s="18" t="s">
        <v>223</v>
      </c>
      <c r="C206" s="2">
        <v>971</v>
      </c>
      <c r="D206" s="3">
        <v>414.7</v>
      </c>
      <c r="E206" s="4">
        <f t="shared" si="3"/>
        <v>1385.7</v>
      </c>
      <c r="F206" s="3"/>
      <c r="G206" s="5"/>
      <c r="H206" s="4"/>
      <c r="I206" s="2"/>
      <c r="J206" s="3"/>
      <c r="K206" s="7"/>
    </row>
    <row r="207" spans="1:11" x14ac:dyDescent="0.25">
      <c r="A207" s="4">
        <v>805</v>
      </c>
      <c r="B207" s="18" t="s">
        <v>224</v>
      </c>
      <c r="C207" s="2">
        <v>1150</v>
      </c>
      <c r="D207" s="3">
        <v>147</v>
      </c>
      <c r="E207" s="4">
        <f t="shared" si="3"/>
        <v>1297</v>
      </c>
      <c r="F207" s="3"/>
      <c r="G207" s="5"/>
      <c r="H207" s="4"/>
      <c r="I207" s="2"/>
      <c r="J207" s="3"/>
      <c r="K207" s="7"/>
    </row>
    <row r="208" spans="1:11" x14ac:dyDescent="0.25">
      <c r="A208" s="4">
        <v>806</v>
      </c>
      <c r="B208" s="18" t="s">
        <v>225</v>
      </c>
      <c r="C208" s="2">
        <v>971</v>
      </c>
      <c r="D208" s="3">
        <v>414.7</v>
      </c>
      <c r="E208" s="4">
        <f t="shared" si="3"/>
        <v>1385.7</v>
      </c>
      <c r="F208" s="3"/>
      <c r="G208" s="5"/>
      <c r="H208" s="4"/>
      <c r="I208" s="2"/>
      <c r="J208" s="3"/>
      <c r="K208" s="7"/>
    </row>
    <row r="209" spans="1:11" x14ac:dyDescent="0.25">
      <c r="A209" s="4">
        <v>807</v>
      </c>
      <c r="B209" s="18" t="s">
        <v>226</v>
      </c>
      <c r="C209" s="2">
        <v>1942</v>
      </c>
      <c r="D209" s="3">
        <v>43</v>
      </c>
      <c r="E209" s="4">
        <f t="shared" si="3"/>
        <v>1985</v>
      </c>
      <c r="F209" s="3">
        <v>518</v>
      </c>
      <c r="G209" s="5">
        <v>647</v>
      </c>
      <c r="H209" s="4"/>
      <c r="I209" s="2"/>
      <c r="J209" s="3"/>
      <c r="K209" s="7"/>
    </row>
    <row r="210" spans="1:11" x14ac:dyDescent="0.25">
      <c r="A210" s="4">
        <v>808</v>
      </c>
      <c r="B210" s="18" t="s">
        <v>227</v>
      </c>
      <c r="C210" s="2">
        <v>1942</v>
      </c>
      <c r="D210" s="3">
        <v>43</v>
      </c>
      <c r="E210" s="4">
        <f t="shared" si="3"/>
        <v>1985</v>
      </c>
      <c r="F210" s="3">
        <v>310.7</v>
      </c>
      <c r="G210" s="5">
        <v>388</v>
      </c>
      <c r="H210" s="4"/>
      <c r="I210" s="2">
        <v>669</v>
      </c>
      <c r="J210" s="3"/>
      <c r="K210" s="7"/>
    </row>
    <row r="211" spans="1:11" x14ac:dyDescent="0.25">
      <c r="A211" s="4">
        <v>809</v>
      </c>
      <c r="B211" s="18" t="s">
        <v>228</v>
      </c>
      <c r="C211" s="2">
        <v>1782</v>
      </c>
      <c r="D211" s="3">
        <v>64</v>
      </c>
      <c r="E211" s="4">
        <f t="shared" si="3"/>
        <v>1846</v>
      </c>
      <c r="F211" s="3">
        <v>310.7</v>
      </c>
      <c r="G211" s="5">
        <v>388</v>
      </c>
      <c r="H211" s="4"/>
      <c r="I211" s="2">
        <v>669</v>
      </c>
      <c r="J211" s="3"/>
      <c r="K211" s="7"/>
    </row>
    <row r="212" spans="1:11" x14ac:dyDescent="0.25">
      <c r="A212" s="4">
        <v>810</v>
      </c>
      <c r="B212" s="18" t="s">
        <v>229</v>
      </c>
      <c r="C212" s="2">
        <v>1692</v>
      </c>
      <c r="D212" s="3">
        <v>76</v>
      </c>
      <c r="E212" s="4">
        <f t="shared" si="3"/>
        <v>1768</v>
      </c>
      <c r="F212" s="3">
        <v>310.7</v>
      </c>
      <c r="G212" s="5">
        <v>388</v>
      </c>
      <c r="H212" s="4"/>
      <c r="I212" s="2">
        <v>663</v>
      </c>
      <c r="J212" s="3"/>
      <c r="K212" s="7"/>
    </row>
    <row r="213" spans="1:11" x14ac:dyDescent="0.25">
      <c r="A213" s="4">
        <v>811</v>
      </c>
      <c r="B213" s="18" t="s">
        <v>230</v>
      </c>
      <c r="C213" s="2">
        <v>1592</v>
      </c>
      <c r="D213" s="3">
        <v>89</v>
      </c>
      <c r="E213" s="4">
        <f t="shared" si="3"/>
        <v>1681</v>
      </c>
      <c r="F213" s="3">
        <v>310.7</v>
      </c>
      <c r="G213" s="5">
        <v>388</v>
      </c>
      <c r="H213" s="4"/>
      <c r="I213" s="2">
        <v>657</v>
      </c>
      <c r="J213" s="3"/>
      <c r="K213" s="7"/>
    </row>
    <row r="214" spans="1:11" x14ac:dyDescent="0.25">
      <c r="A214" s="4">
        <v>812</v>
      </c>
      <c r="B214" s="18" t="s">
        <v>231</v>
      </c>
      <c r="C214" s="2">
        <v>1600</v>
      </c>
      <c r="D214" s="3">
        <v>88</v>
      </c>
      <c r="E214" s="4">
        <f t="shared" si="3"/>
        <v>1688</v>
      </c>
      <c r="F214" s="3">
        <v>310.7</v>
      </c>
      <c r="G214" s="5">
        <v>388</v>
      </c>
      <c r="H214" s="4"/>
      <c r="I214" s="2">
        <v>657</v>
      </c>
      <c r="J214" s="3"/>
      <c r="K214" s="7"/>
    </row>
    <row r="215" spans="1:11" x14ac:dyDescent="0.25">
      <c r="A215" s="4">
        <v>813</v>
      </c>
      <c r="B215" s="18" t="s">
        <v>232</v>
      </c>
      <c r="C215" s="2">
        <v>971</v>
      </c>
      <c r="D215" s="3">
        <v>214</v>
      </c>
      <c r="E215" s="4">
        <f t="shared" si="3"/>
        <v>1185</v>
      </c>
      <c r="F215" s="3"/>
      <c r="G215" s="5"/>
      <c r="H215" s="4"/>
      <c r="I215" s="2">
        <v>620</v>
      </c>
      <c r="J215" s="3"/>
      <c r="K215" s="7"/>
    </row>
    <row r="216" spans="1:11" x14ac:dyDescent="0.25">
      <c r="A216" s="4">
        <v>814</v>
      </c>
      <c r="B216" s="18" t="s">
        <v>233</v>
      </c>
      <c r="C216" s="2">
        <v>971</v>
      </c>
      <c r="D216" s="3">
        <v>214</v>
      </c>
      <c r="E216" s="4">
        <f t="shared" si="3"/>
        <v>1185</v>
      </c>
      <c r="F216" s="3"/>
      <c r="G216" s="5"/>
      <c r="H216" s="4"/>
      <c r="I216" s="2">
        <v>155</v>
      </c>
      <c r="J216" s="3"/>
      <c r="K216" s="7"/>
    </row>
    <row r="217" spans="1:11" x14ac:dyDescent="0.25">
      <c r="A217" s="4">
        <v>816</v>
      </c>
      <c r="B217" s="18" t="s">
        <v>234</v>
      </c>
      <c r="C217" s="2">
        <v>1600</v>
      </c>
      <c r="D217" s="3">
        <v>88</v>
      </c>
      <c r="E217" s="4">
        <f t="shared" si="3"/>
        <v>1688</v>
      </c>
      <c r="F217" s="3">
        <v>310.7</v>
      </c>
      <c r="G217" s="5">
        <v>388</v>
      </c>
      <c r="H217" s="4">
        <v>17</v>
      </c>
      <c r="I217" s="2"/>
      <c r="J217" s="3"/>
      <c r="K217" s="7"/>
    </row>
    <row r="218" spans="1:11" x14ac:dyDescent="0.25">
      <c r="A218" s="4">
        <v>817</v>
      </c>
      <c r="B218" s="18" t="s">
        <v>235</v>
      </c>
      <c r="C218" s="2">
        <v>971</v>
      </c>
      <c r="D218" s="3">
        <v>214</v>
      </c>
      <c r="E218" s="4">
        <f t="shared" si="3"/>
        <v>1185</v>
      </c>
      <c r="F218" s="3"/>
      <c r="G218" s="5"/>
      <c r="H218" s="4"/>
      <c r="I218" s="2">
        <v>155</v>
      </c>
      <c r="J218" s="3"/>
      <c r="K218" s="7"/>
    </row>
    <row r="219" spans="1:11" x14ac:dyDescent="0.25">
      <c r="A219" s="4">
        <v>818</v>
      </c>
      <c r="B219" s="18" t="s">
        <v>236</v>
      </c>
      <c r="C219" s="2">
        <v>971</v>
      </c>
      <c r="D219" s="3">
        <v>214</v>
      </c>
      <c r="E219" s="4">
        <f t="shared" si="3"/>
        <v>1185</v>
      </c>
      <c r="F219" s="3"/>
      <c r="G219" s="5"/>
      <c r="H219" s="4"/>
      <c r="I219" s="2">
        <v>659</v>
      </c>
      <c r="J219" s="3"/>
      <c r="K219" s="7"/>
    </row>
    <row r="220" spans="1:11" x14ac:dyDescent="0.25">
      <c r="A220" s="4">
        <v>819</v>
      </c>
      <c r="B220" s="18" t="s">
        <v>237</v>
      </c>
      <c r="C220" s="2">
        <v>971</v>
      </c>
      <c r="D220" s="3">
        <v>214</v>
      </c>
      <c r="E220" s="4">
        <f t="shared" si="3"/>
        <v>1185</v>
      </c>
      <c r="F220" s="3"/>
      <c r="G220" s="5"/>
      <c r="H220" s="4"/>
      <c r="I220" s="2">
        <v>155</v>
      </c>
      <c r="J220" s="3"/>
      <c r="K220" s="7"/>
    </row>
    <row r="221" spans="1:11" x14ac:dyDescent="0.25">
      <c r="A221" s="4">
        <v>820</v>
      </c>
      <c r="B221" s="18" t="s">
        <v>238</v>
      </c>
      <c r="C221" s="2">
        <v>1692</v>
      </c>
      <c r="D221" s="3">
        <v>76</v>
      </c>
      <c r="E221" s="4">
        <f t="shared" si="3"/>
        <v>1768</v>
      </c>
      <c r="F221" s="3">
        <v>362.7</v>
      </c>
      <c r="G221" s="5">
        <v>453</v>
      </c>
      <c r="H221" s="4"/>
      <c r="I221" s="2">
        <v>839</v>
      </c>
      <c r="J221" s="3"/>
      <c r="K221" s="7"/>
    </row>
    <row r="222" spans="1:11" x14ac:dyDescent="0.25">
      <c r="A222" s="4">
        <v>821</v>
      </c>
      <c r="B222" s="18" t="s">
        <v>239</v>
      </c>
      <c r="C222" s="2">
        <v>1592</v>
      </c>
      <c r="D222" s="3">
        <v>89</v>
      </c>
      <c r="E222" s="4">
        <f t="shared" si="3"/>
        <v>1681</v>
      </c>
      <c r="F222" s="3">
        <v>310.7</v>
      </c>
      <c r="G222" s="5">
        <v>388</v>
      </c>
      <c r="H222" s="4"/>
      <c r="I222" s="2">
        <v>839</v>
      </c>
      <c r="J222" s="3"/>
      <c r="K222" s="7"/>
    </row>
    <row r="223" spans="1:11" x14ac:dyDescent="0.25">
      <c r="A223" s="4">
        <v>822</v>
      </c>
      <c r="B223" s="18" t="s">
        <v>240</v>
      </c>
      <c r="C223" s="2">
        <v>971</v>
      </c>
      <c r="D223" s="3">
        <v>414.7</v>
      </c>
      <c r="E223" s="4">
        <f t="shared" si="3"/>
        <v>1385.7</v>
      </c>
      <c r="F223" s="3"/>
      <c r="G223" s="5"/>
      <c r="H223" s="4"/>
      <c r="I223" s="2"/>
      <c r="J223" s="3"/>
      <c r="K223" s="7"/>
    </row>
    <row r="224" spans="1:11" x14ac:dyDescent="0.25">
      <c r="A224" s="4">
        <v>823</v>
      </c>
      <c r="B224" s="18" t="s">
        <v>241</v>
      </c>
      <c r="C224" s="2">
        <v>1700</v>
      </c>
      <c r="D224" s="3">
        <v>75</v>
      </c>
      <c r="E224" s="4">
        <f t="shared" si="3"/>
        <v>1775</v>
      </c>
      <c r="F224" s="3">
        <v>310.7</v>
      </c>
      <c r="G224" s="5">
        <v>388</v>
      </c>
      <c r="H224" s="4"/>
      <c r="I224" s="2">
        <v>657</v>
      </c>
      <c r="J224" s="3"/>
      <c r="K224" s="7"/>
    </row>
    <row r="225" spans="1:11" x14ac:dyDescent="0.25">
      <c r="A225" s="4">
        <v>824</v>
      </c>
      <c r="B225" s="18" t="s">
        <v>242</v>
      </c>
      <c r="C225" s="2">
        <v>1400</v>
      </c>
      <c r="D225" s="3">
        <v>114</v>
      </c>
      <c r="E225" s="4">
        <f t="shared" si="3"/>
        <v>1514</v>
      </c>
      <c r="F225" s="3">
        <v>310.7</v>
      </c>
      <c r="G225" s="5">
        <v>388</v>
      </c>
      <c r="H225" s="4"/>
      <c r="I225" s="2">
        <v>657</v>
      </c>
      <c r="J225" s="3"/>
      <c r="K225" s="7"/>
    </row>
    <row r="226" spans="1:11" x14ac:dyDescent="0.25">
      <c r="A226" s="4">
        <v>825</v>
      </c>
      <c r="B226" s="18" t="s">
        <v>243</v>
      </c>
      <c r="C226" s="2">
        <v>1300</v>
      </c>
      <c r="D226" s="3">
        <v>127</v>
      </c>
      <c r="E226" s="4">
        <f t="shared" si="3"/>
        <v>1427</v>
      </c>
      <c r="F226" s="3">
        <v>310.7</v>
      </c>
      <c r="G226" s="5">
        <v>388</v>
      </c>
      <c r="H226" s="4"/>
      <c r="I226" s="2">
        <v>657</v>
      </c>
      <c r="J226" s="3"/>
      <c r="K226" s="7"/>
    </row>
    <row r="227" spans="1:11" x14ac:dyDescent="0.25">
      <c r="A227" s="4">
        <v>826</v>
      </c>
      <c r="B227" s="18" t="s">
        <v>244</v>
      </c>
      <c r="C227" s="2">
        <v>1250</v>
      </c>
      <c r="D227" s="3">
        <v>134</v>
      </c>
      <c r="E227" s="4">
        <f t="shared" si="3"/>
        <v>1384</v>
      </c>
      <c r="F227" s="3">
        <v>310.7</v>
      </c>
      <c r="G227" s="5">
        <v>388</v>
      </c>
      <c r="H227" s="4"/>
      <c r="I227" s="2">
        <v>657</v>
      </c>
      <c r="J227" s="3"/>
      <c r="K227" s="7"/>
    </row>
    <row r="228" spans="1:11" x14ac:dyDescent="0.25">
      <c r="A228" s="4">
        <v>827</v>
      </c>
      <c r="B228" s="18" t="s">
        <v>245</v>
      </c>
      <c r="C228" s="2">
        <v>1680</v>
      </c>
      <c r="D228" s="3">
        <v>77</v>
      </c>
      <c r="E228" s="4">
        <f t="shared" si="3"/>
        <v>1757</v>
      </c>
      <c r="F228" s="3">
        <v>517.29999999999995</v>
      </c>
      <c r="G228" s="5">
        <v>453</v>
      </c>
      <c r="H228" s="4"/>
      <c r="I228" s="2"/>
      <c r="J228" s="3"/>
      <c r="K228" s="7"/>
    </row>
    <row r="229" spans="1:11" x14ac:dyDescent="0.25">
      <c r="A229" s="4">
        <v>828</v>
      </c>
      <c r="B229" s="18" t="s">
        <v>246</v>
      </c>
      <c r="C229" s="2">
        <v>2913</v>
      </c>
      <c r="D229" s="3">
        <v>0</v>
      </c>
      <c r="E229" s="4">
        <f t="shared" si="3"/>
        <v>2913</v>
      </c>
      <c r="F229" s="3"/>
      <c r="G229" s="5"/>
      <c r="H229" s="4">
        <v>17</v>
      </c>
      <c r="I229" s="2"/>
      <c r="J229" s="3"/>
      <c r="K229" s="7"/>
    </row>
    <row r="230" spans="1:11" ht="25.5" x14ac:dyDescent="0.25">
      <c r="A230" s="4">
        <v>829</v>
      </c>
      <c r="B230" s="18" t="s">
        <v>247</v>
      </c>
      <c r="C230" s="2">
        <v>971</v>
      </c>
      <c r="D230" s="3">
        <v>414.7</v>
      </c>
      <c r="E230" s="4">
        <f t="shared" si="3"/>
        <v>1385.7</v>
      </c>
      <c r="F230" s="3"/>
      <c r="G230" s="5"/>
      <c r="H230" s="4"/>
      <c r="I230" s="2"/>
      <c r="J230" s="3"/>
      <c r="K230" s="7"/>
    </row>
    <row r="231" spans="1:11" x14ac:dyDescent="0.25">
      <c r="A231" s="4">
        <v>830</v>
      </c>
      <c r="B231" s="18" t="s">
        <v>248</v>
      </c>
      <c r="C231" s="2">
        <v>971</v>
      </c>
      <c r="D231" s="3">
        <v>414.7</v>
      </c>
      <c r="E231" s="4">
        <f t="shared" si="3"/>
        <v>1385.7</v>
      </c>
      <c r="F231" s="3"/>
      <c r="G231" s="5"/>
      <c r="H231" s="4"/>
      <c r="I231" s="2"/>
      <c r="J231" s="3"/>
      <c r="K231" s="7"/>
    </row>
    <row r="232" spans="1:11" x14ac:dyDescent="0.25">
      <c r="A232" s="4">
        <v>831</v>
      </c>
      <c r="B232" s="18" t="s">
        <v>249</v>
      </c>
      <c r="C232" s="2">
        <v>971</v>
      </c>
      <c r="D232" s="3">
        <v>414.7</v>
      </c>
      <c r="E232" s="4">
        <f t="shared" si="3"/>
        <v>1385.7</v>
      </c>
      <c r="F232" s="3"/>
      <c r="G232" s="5"/>
      <c r="H232" s="4"/>
      <c r="I232" s="2"/>
      <c r="J232" s="3"/>
      <c r="K232" s="7"/>
    </row>
    <row r="233" spans="1:11" x14ac:dyDescent="0.25">
      <c r="A233" s="4">
        <v>833</v>
      </c>
      <c r="B233" s="18" t="s">
        <v>250</v>
      </c>
      <c r="C233" s="2">
        <v>971</v>
      </c>
      <c r="D233" s="3">
        <v>214</v>
      </c>
      <c r="E233" s="4">
        <f t="shared" si="3"/>
        <v>1185</v>
      </c>
      <c r="F233" s="3"/>
      <c r="G233" s="5"/>
      <c r="H233" s="4"/>
      <c r="I233" s="2">
        <v>155</v>
      </c>
      <c r="J233" s="3"/>
      <c r="K233" s="7"/>
    </row>
    <row r="234" spans="1:11" x14ac:dyDescent="0.25">
      <c r="A234" s="4">
        <v>834</v>
      </c>
      <c r="B234" s="18" t="s">
        <v>251</v>
      </c>
      <c r="C234" s="2">
        <v>971</v>
      </c>
      <c r="D234" s="3">
        <v>214</v>
      </c>
      <c r="E234" s="4">
        <f t="shared" si="3"/>
        <v>1185</v>
      </c>
      <c r="F234" s="3"/>
      <c r="G234" s="5"/>
      <c r="H234" s="4"/>
      <c r="I234" s="2">
        <v>155</v>
      </c>
      <c r="J234" s="3"/>
      <c r="K234" s="7"/>
    </row>
    <row r="235" spans="1:11" x14ac:dyDescent="0.25">
      <c r="A235" s="4">
        <v>835</v>
      </c>
      <c r="B235" s="18" t="s">
        <v>252</v>
      </c>
      <c r="C235" s="2">
        <v>971</v>
      </c>
      <c r="D235" s="3">
        <v>214</v>
      </c>
      <c r="E235" s="4">
        <f t="shared" si="3"/>
        <v>1185</v>
      </c>
      <c r="F235" s="3"/>
      <c r="G235" s="5"/>
      <c r="H235" s="4"/>
      <c r="I235" s="2">
        <v>620</v>
      </c>
      <c r="J235" s="3"/>
      <c r="K235" s="7"/>
    </row>
    <row r="236" spans="1:11" x14ac:dyDescent="0.25">
      <c r="A236" s="4">
        <v>836</v>
      </c>
      <c r="B236" s="18" t="s">
        <v>253</v>
      </c>
      <c r="C236" s="2">
        <v>971</v>
      </c>
      <c r="D236" s="3">
        <v>214</v>
      </c>
      <c r="E236" s="4">
        <f t="shared" si="3"/>
        <v>1185</v>
      </c>
      <c r="F236" s="3"/>
      <c r="G236" s="5"/>
      <c r="H236" s="4"/>
      <c r="I236" s="2">
        <v>155</v>
      </c>
      <c r="J236" s="3"/>
      <c r="K236" s="7"/>
    </row>
    <row r="237" spans="1:11" x14ac:dyDescent="0.25">
      <c r="A237" s="4">
        <v>837</v>
      </c>
      <c r="B237" s="18" t="s">
        <v>254</v>
      </c>
      <c r="C237" s="2">
        <v>971</v>
      </c>
      <c r="D237" s="3">
        <v>214</v>
      </c>
      <c r="E237" s="4">
        <f t="shared" ref="E237:E300" si="4">C237+D237</f>
        <v>1185</v>
      </c>
      <c r="F237" s="3"/>
      <c r="G237" s="5"/>
      <c r="H237" s="4"/>
      <c r="I237" s="2">
        <v>155</v>
      </c>
      <c r="J237" s="3"/>
      <c r="K237" s="7"/>
    </row>
    <row r="238" spans="1:11" x14ac:dyDescent="0.25">
      <c r="A238" s="4">
        <v>838</v>
      </c>
      <c r="B238" s="18" t="s">
        <v>255</v>
      </c>
      <c r="C238" s="2">
        <v>971</v>
      </c>
      <c r="D238" s="3">
        <v>214</v>
      </c>
      <c r="E238" s="4">
        <f t="shared" si="4"/>
        <v>1185</v>
      </c>
      <c r="F238" s="3"/>
      <c r="G238" s="5"/>
      <c r="H238" s="4"/>
      <c r="I238" s="2">
        <v>659</v>
      </c>
      <c r="J238" s="3"/>
      <c r="K238" s="7"/>
    </row>
    <row r="239" spans="1:11" x14ac:dyDescent="0.25">
      <c r="A239" s="4">
        <v>839</v>
      </c>
      <c r="B239" s="18" t="s">
        <v>256</v>
      </c>
      <c r="C239" s="2">
        <v>971</v>
      </c>
      <c r="D239" s="3">
        <v>214</v>
      </c>
      <c r="E239" s="4">
        <f t="shared" si="4"/>
        <v>1185</v>
      </c>
      <c r="F239" s="3"/>
      <c r="G239" s="5"/>
      <c r="H239" s="4"/>
      <c r="I239" s="2">
        <v>155</v>
      </c>
      <c r="J239" s="3"/>
      <c r="K239" s="7"/>
    </row>
    <row r="240" spans="1:11" x14ac:dyDescent="0.25">
      <c r="A240" s="4">
        <v>840</v>
      </c>
      <c r="B240" s="18" t="s">
        <v>257</v>
      </c>
      <c r="C240" s="2">
        <v>971</v>
      </c>
      <c r="D240" s="3">
        <v>214</v>
      </c>
      <c r="E240" s="4">
        <f t="shared" si="4"/>
        <v>1185</v>
      </c>
      <c r="F240" s="3"/>
      <c r="G240" s="5"/>
      <c r="H240" s="4"/>
      <c r="I240" s="2">
        <v>155</v>
      </c>
      <c r="J240" s="3"/>
      <c r="K240" s="7"/>
    </row>
    <row r="241" spans="1:11" ht="25.5" x14ac:dyDescent="0.25">
      <c r="A241" s="4">
        <v>841</v>
      </c>
      <c r="B241" s="18" t="s">
        <v>258</v>
      </c>
      <c r="C241" s="2">
        <v>1300</v>
      </c>
      <c r="D241" s="3">
        <v>127</v>
      </c>
      <c r="E241" s="4">
        <f t="shared" si="4"/>
        <v>1427</v>
      </c>
      <c r="F241" s="3">
        <v>388</v>
      </c>
      <c r="G241" s="5">
        <v>388</v>
      </c>
      <c r="H241" s="4"/>
      <c r="I241" s="2"/>
      <c r="J241" s="3"/>
      <c r="K241" s="7"/>
    </row>
    <row r="242" spans="1:11" x14ac:dyDescent="0.25">
      <c r="A242" s="4">
        <v>842</v>
      </c>
      <c r="B242" s="18" t="s">
        <v>259</v>
      </c>
      <c r="C242" s="2">
        <v>1500</v>
      </c>
      <c r="D242" s="3">
        <v>101</v>
      </c>
      <c r="E242" s="4">
        <f t="shared" si="4"/>
        <v>1601</v>
      </c>
      <c r="F242" s="3">
        <v>518</v>
      </c>
      <c r="G242" s="5">
        <v>647</v>
      </c>
      <c r="H242" s="4"/>
      <c r="I242" s="2"/>
      <c r="J242" s="3"/>
      <c r="K242" s="9">
        <v>744</v>
      </c>
    </row>
    <row r="243" spans="1:11" x14ac:dyDescent="0.25">
      <c r="A243" s="4">
        <v>843</v>
      </c>
      <c r="B243" s="18" t="s">
        <v>260</v>
      </c>
      <c r="C243" s="2">
        <v>1250</v>
      </c>
      <c r="D243" s="3">
        <v>134</v>
      </c>
      <c r="E243" s="4">
        <f t="shared" si="4"/>
        <v>1384</v>
      </c>
      <c r="F243" s="3">
        <v>310.7</v>
      </c>
      <c r="G243" s="5">
        <v>388</v>
      </c>
      <c r="H243" s="4"/>
      <c r="I243" s="2"/>
      <c r="J243" s="3"/>
      <c r="K243" s="9">
        <v>580</v>
      </c>
    </row>
    <row r="244" spans="1:11" x14ac:dyDescent="0.25">
      <c r="A244" s="4">
        <v>844</v>
      </c>
      <c r="B244" s="18" t="s">
        <v>261</v>
      </c>
      <c r="C244" s="2">
        <v>1660</v>
      </c>
      <c r="D244" s="3">
        <v>80</v>
      </c>
      <c r="E244" s="4">
        <f t="shared" si="4"/>
        <v>1740</v>
      </c>
      <c r="F244" s="3"/>
      <c r="G244" s="5"/>
      <c r="H244" s="4"/>
      <c r="I244" s="2"/>
      <c r="J244" s="3"/>
      <c r="K244" s="7"/>
    </row>
    <row r="245" spans="1:11" x14ac:dyDescent="0.25">
      <c r="A245" s="4">
        <v>847</v>
      </c>
      <c r="B245" s="18" t="s">
        <v>262</v>
      </c>
      <c r="C245" s="2">
        <v>971</v>
      </c>
      <c r="D245" s="3">
        <v>414.7</v>
      </c>
      <c r="E245" s="4">
        <f t="shared" si="4"/>
        <v>1385.7</v>
      </c>
      <c r="F245" s="3"/>
      <c r="G245" s="5"/>
      <c r="H245" s="4"/>
      <c r="I245" s="2"/>
      <c r="J245" s="3"/>
      <c r="K245" s="7"/>
    </row>
    <row r="246" spans="1:11" x14ac:dyDescent="0.25">
      <c r="A246" s="4">
        <v>848</v>
      </c>
      <c r="B246" s="18" t="s">
        <v>263</v>
      </c>
      <c r="C246" s="2">
        <v>971</v>
      </c>
      <c r="D246" s="3">
        <v>214</v>
      </c>
      <c r="E246" s="4">
        <f t="shared" si="4"/>
        <v>1185</v>
      </c>
      <c r="F246" s="3"/>
      <c r="G246" s="5"/>
      <c r="H246" s="4"/>
      <c r="I246" s="2">
        <v>155</v>
      </c>
      <c r="J246" s="3"/>
      <c r="K246" s="7"/>
    </row>
    <row r="247" spans="1:11" x14ac:dyDescent="0.25">
      <c r="A247" s="4">
        <v>849</v>
      </c>
      <c r="B247" s="18" t="s">
        <v>264</v>
      </c>
      <c r="C247" s="2">
        <v>971</v>
      </c>
      <c r="D247" s="3">
        <v>414.7</v>
      </c>
      <c r="E247" s="4">
        <f t="shared" si="4"/>
        <v>1385.7</v>
      </c>
      <c r="F247" s="3"/>
      <c r="G247" s="5"/>
      <c r="H247" s="4"/>
      <c r="I247" s="2"/>
      <c r="J247" s="3"/>
      <c r="K247" s="7"/>
    </row>
    <row r="248" spans="1:11" x14ac:dyDescent="0.25">
      <c r="A248" s="4">
        <v>850</v>
      </c>
      <c r="B248" s="18" t="s">
        <v>265</v>
      </c>
      <c r="C248" s="2">
        <v>3146</v>
      </c>
      <c r="D248" s="3">
        <v>0</v>
      </c>
      <c r="E248" s="4">
        <f t="shared" si="4"/>
        <v>3146</v>
      </c>
      <c r="F248" s="3">
        <v>621.29999999999995</v>
      </c>
      <c r="G248" s="5">
        <v>776</v>
      </c>
      <c r="H248" s="4"/>
      <c r="I248" s="2"/>
      <c r="J248" s="3"/>
      <c r="K248" s="7"/>
    </row>
    <row r="249" spans="1:11" x14ac:dyDescent="0.25">
      <c r="A249" s="4">
        <v>851</v>
      </c>
      <c r="B249" s="18" t="s">
        <v>266</v>
      </c>
      <c r="C249" s="2">
        <v>2913</v>
      </c>
      <c r="D249" s="3">
        <v>0</v>
      </c>
      <c r="E249" s="4">
        <f t="shared" si="4"/>
        <v>2913</v>
      </c>
      <c r="F249" s="3">
        <v>776</v>
      </c>
      <c r="G249" s="5">
        <v>776</v>
      </c>
      <c r="H249" s="4">
        <v>20</v>
      </c>
      <c r="I249" s="2"/>
      <c r="J249" s="3"/>
      <c r="K249" s="7"/>
    </row>
    <row r="250" spans="1:11" x14ac:dyDescent="0.25">
      <c r="A250" s="4">
        <v>852</v>
      </c>
      <c r="B250" s="18" t="s">
        <v>267</v>
      </c>
      <c r="C250" s="2">
        <v>2913</v>
      </c>
      <c r="D250" s="3">
        <v>0</v>
      </c>
      <c r="E250" s="4">
        <f t="shared" si="4"/>
        <v>2913</v>
      </c>
      <c r="F250" s="3">
        <v>776</v>
      </c>
      <c r="G250" s="5">
        <v>776</v>
      </c>
      <c r="H250" s="4"/>
      <c r="I250" s="2"/>
      <c r="J250" s="3"/>
      <c r="K250" s="7"/>
    </row>
    <row r="251" spans="1:11" x14ac:dyDescent="0.25">
      <c r="A251" s="4">
        <v>853</v>
      </c>
      <c r="B251" s="18" t="s">
        <v>268</v>
      </c>
      <c r="C251" s="2">
        <v>2913</v>
      </c>
      <c r="D251" s="3">
        <v>0</v>
      </c>
      <c r="E251" s="4">
        <f t="shared" si="4"/>
        <v>2913</v>
      </c>
      <c r="F251" s="3">
        <v>776</v>
      </c>
      <c r="G251" s="5">
        <v>776</v>
      </c>
      <c r="H251" s="4">
        <v>17</v>
      </c>
      <c r="I251" s="2"/>
      <c r="J251" s="3"/>
      <c r="K251" s="7"/>
    </row>
    <row r="252" spans="1:11" x14ac:dyDescent="0.25">
      <c r="A252" s="4">
        <v>855</v>
      </c>
      <c r="B252" s="18" t="s">
        <v>269</v>
      </c>
      <c r="C252" s="2">
        <v>971</v>
      </c>
      <c r="D252" s="3">
        <v>414.7</v>
      </c>
      <c r="E252" s="4">
        <f t="shared" si="4"/>
        <v>1385.7</v>
      </c>
      <c r="F252" s="3"/>
      <c r="G252" s="5"/>
      <c r="H252" s="4"/>
      <c r="I252" s="2"/>
      <c r="J252" s="3"/>
      <c r="K252" s="7"/>
    </row>
    <row r="253" spans="1:11" x14ac:dyDescent="0.25">
      <c r="A253" s="4">
        <v>856</v>
      </c>
      <c r="B253" s="18" t="s">
        <v>270</v>
      </c>
      <c r="C253" s="2">
        <v>2913</v>
      </c>
      <c r="D253" s="3">
        <v>0</v>
      </c>
      <c r="E253" s="4">
        <f t="shared" si="4"/>
        <v>2913</v>
      </c>
      <c r="F253" s="3"/>
      <c r="G253" s="5"/>
      <c r="H253" s="4"/>
      <c r="I253" s="2"/>
      <c r="J253" s="3"/>
      <c r="K253" s="7"/>
    </row>
    <row r="254" spans="1:11" x14ac:dyDescent="0.25">
      <c r="A254" s="4">
        <v>857</v>
      </c>
      <c r="B254" s="18" t="s">
        <v>271</v>
      </c>
      <c r="C254" s="2">
        <v>2913</v>
      </c>
      <c r="D254" s="3">
        <v>0</v>
      </c>
      <c r="E254" s="4">
        <f t="shared" si="4"/>
        <v>2913</v>
      </c>
      <c r="F254" s="3">
        <v>776</v>
      </c>
      <c r="G254" s="5" t="s">
        <v>65</v>
      </c>
      <c r="H254" s="4"/>
      <c r="I254" s="2"/>
      <c r="J254" s="3"/>
      <c r="K254" s="7"/>
    </row>
    <row r="255" spans="1:11" x14ac:dyDescent="0.25">
      <c r="A255" s="4">
        <v>858</v>
      </c>
      <c r="B255" s="18" t="s">
        <v>272</v>
      </c>
      <c r="C255" s="2">
        <v>4428</v>
      </c>
      <c r="D255" s="3">
        <v>0</v>
      </c>
      <c r="E255" s="4">
        <f t="shared" si="4"/>
        <v>4428</v>
      </c>
      <c r="F255" s="3"/>
      <c r="G255" s="5"/>
      <c r="H255" s="4"/>
      <c r="I255" s="2"/>
      <c r="J255" s="3"/>
      <c r="K255" s="7"/>
    </row>
    <row r="256" spans="1:11" x14ac:dyDescent="0.25">
      <c r="A256" s="4">
        <v>859</v>
      </c>
      <c r="B256" s="18" t="s">
        <v>273</v>
      </c>
      <c r="C256" s="2">
        <v>4000</v>
      </c>
      <c r="D256" s="3">
        <v>0</v>
      </c>
      <c r="E256" s="4">
        <f t="shared" si="4"/>
        <v>4000</v>
      </c>
      <c r="F256" s="3"/>
      <c r="G256" s="5"/>
      <c r="H256" s="4"/>
      <c r="I256" s="2"/>
      <c r="J256" s="3"/>
      <c r="K256" s="7"/>
    </row>
    <row r="257" spans="1:11" x14ac:dyDescent="0.25">
      <c r="A257" s="4">
        <v>860</v>
      </c>
      <c r="B257" s="18" t="s">
        <v>274</v>
      </c>
      <c r="C257" s="2">
        <v>3572</v>
      </c>
      <c r="D257" s="3">
        <v>0</v>
      </c>
      <c r="E257" s="4">
        <f t="shared" si="4"/>
        <v>3572</v>
      </c>
      <c r="F257" s="3"/>
      <c r="G257" s="5"/>
      <c r="H257" s="4"/>
      <c r="I257" s="2"/>
      <c r="J257" s="3"/>
      <c r="K257" s="7"/>
    </row>
    <row r="258" spans="1:11" x14ac:dyDescent="0.25">
      <c r="A258" s="4">
        <v>861</v>
      </c>
      <c r="B258" s="18" t="s">
        <v>275</v>
      </c>
      <c r="C258" s="2">
        <v>3144</v>
      </c>
      <c r="D258" s="3">
        <v>0</v>
      </c>
      <c r="E258" s="4">
        <f t="shared" si="4"/>
        <v>3144</v>
      </c>
      <c r="F258" s="3"/>
      <c r="G258" s="5"/>
      <c r="H258" s="4"/>
      <c r="I258" s="2"/>
      <c r="J258" s="3"/>
      <c r="K258" s="7"/>
    </row>
    <row r="259" spans="1:11" x14ac:dyDescent="0.25">
      <c r="A259" s="4">
        <v>862</v>
      </c>
      <c r="B259" s="18" t="s">
        <v>276</v>
      </c>
      <c r="C259" s="2">
        <v>2856</v>
      </c>
      <c r="D259" s="3">
        <v>0</v>
      </c>
      <c r="E259" s="4">
        <f t="shared" si="4"/>
        <v>2856</v>
      </c>
      <c r="F259" s="3"/>
      <c r="G259" s="5"/>
      <c r="H259" s="4"/>
      <c r="I259" s="2"/>
      <c r="J259" s="3"/>
      <c r="K259" s="7"/>
    </row>
    <row r="260" spans="1:11" x14ac:dyDescent="0.25">
      <c r="A260" s="4">
        <v>863</v>
      </c>
      <c r="B260" s="18" t="s">
        <v>277</v>
      </c>
      <c r="C260" s="2">
        <v>1428</v>
      </c>
      <c r="D260" s="3">
        <v>110</v>
      </c>
      <c r="E260" s="4">
        <f t="shared" si="4"/>
        <v>1538</v>
      </c>
      <c r="F260" s="3"/>
      <c r="G260" s="5"/>
      <c r="H260" s="4"/>
      <c r="I260" s="2"/>
      <c r="J260" s="3"/>
      <c r="K260" s="7"/>
    </row>
    <row r="261" spans="1:11" x14ac:dyDescent="0.25">
      <c r="A261" s="4">
        <v>864</v>
      </c>
      <c r="B261" s="18" t="s">
        <v>278</v>
      </c>
      <c r="C261" s="2">
        <v>1572</v>
      </c>
      <c r="D261" s="3">
        <v>91</v>
      </c>
      <c r="E261" s="4">
        <f t="shared" si="4"/>
        <v>1663</v>
      </c>
      <c r="F261" s="3"/>
      <c r="G261" s="5"/>
      <c r="H261" s="4"/>
      <c r="I261" s="2"/>
      <c r="J261" s="3"/>
      <c r="K261" s="7"/>
    </row>
    <row r="262" spans="1:11" x14ac:dyDescent="0.25">
      <c r="A262" s="4">
        <v>868</v>
      </c>
      <c r="B262" s="18" t="s">
        <v>279</v>
      </c>
      <c r="C262" s="2">
        <v>2214</v>
      </c>
      <c r="D262" s="3">
        <v>8</v>
      </c>
      <c r="E262" s="4">
        <f t="shared" si="4"/>
        <v>2222</v>
      </c>
      <c r="F262" s="3"/>
      <c r="G262" s="5"/>
      <c r="H262" s="4"/>
      <c r="I262" s="2"/>
      <c r="J262" s="3"/>
      <c r="K262" s="7"/>
    </row>
    <row r="263" spans="1:11" x14ac:dyDescent="0.25">
      <c r="A263" s="4">
        <v>869</v>
      </c>
      <c r="B263" s="18" t="s">
        <v>280</v>
      </c>
      <c r="C263" s="2">
        <v>2000</v>
      </c>
      <c r="D263" s="3">
        <v>36</v>
      </c>
      <c r="E263" s="4">
        <f t="shared" si="4"/>
        <v>2036</v>
      </c>
      <c r="F263" s="3"/>
      <c r="G263" s="5"/>
      <c r="H263" s="4"/>
      <c r="I263" s="2"/>
      <c r="J263" s="3"/>
      <c r="K263" s="7"/>
    </row>
    <row r="264" spans="1:11" x14ac:dyDescent="0.25">
      <c r="A264" s="4">
        <v>870</v>
      </c>
      <c r="B264" s="18" t="s">
        <v>281</v>
      </c>
      <c r="C264" s="2">
        <v>1786</v>
      </c>
      <c r="D264" s="3">
        <v>64</v>
      </c>
      <c r="E264" s="4">
        <f t="shared" si="4"/>
        <v>1850</v>
      </c>
      <c r="F264" s="3"/>
      <c r="G264" s="5"/>
      <c r="H264" s="4"/>
      <c r="I264" s="2"/>
      <c r="J264" s="3"/>
      <c r="K264" s="7"/>
    </row>
    <row r="265" spans="1:11" x14ac:dyDescent="0.25">
      <c r="A265" s="4">
        <v>871</v>
      </c>
      <c r="B265" s="18" t="s">
        <v>282</v>
      </c>
      <c r="C265" s="2">
        <v>1107</v>
      </c>
      <c r="D265" s="3">
        <v>152</v>
      </c>
      <c r="E265" s="4">
        <f t="shared" si="4"/>
        <v>1259</v>
      </c>
      <c r="F265" s="3"/>
      <c r="G265" s="5"/>
      <c r="H265" s="4"/>
      <c r="I265" s="2"/>
      <c r="J265" s="3"/>
      <c r="K265" s="7"/>
    </row>
    <row r="266" spans="1:11" x14ac:dyDescent="0.25">
      <c r="A266" s="4">
        <v>872</v>
      </c>
      <c r="B266" s="18" t="s">
        <v>283</v>
      </c>
      <c r="C266" s="2">
        <v>1000</v>
      </c>
      <c r="D266" s="3">
        <v>166</v>
      </c>
      <c r="E266" s="4">
        <f t="shared" si="4"/>
        <v>1166</v>
      </c>
      <c r="F266" s="3"/>
      <c r="G266" s="5"/>
      <c r="H266" s="4"/>
      <c r="I266" s="2"/>
      <c r="J266" s="3"/>
      <c r="K266" s="7"/>
    </row>
    <row r="267" spans="1:11" x14ac:dyDescent="0.25">
      <c r="A267" s="4">
        <v>873</v>
      </c>
      <c r="B267" s="18" t="s">
        <v>284</v>
      </c>
      <c r="C267" s="2">
        <v>893</v>
      </c>
      <c r="D267" s="3">
        <v>414.7</v>
      </c>
      <c r="E267" s="4">
        <f t="shared" si="4"/>
        <v>1307.7</v>
      </c>
      <c r="F267" s="3"/>
      <c r="G267" s="5"/>
      <c r="H267" s="4"/>
      <c r="I267" s="2"/>
      <c r="J267" s="3"/>
      <c r="K267" s="7"/>
    </row>
    <row r="268" spans="1:11" x14ac:dyDescent="0.25">
      <c r="A268" s="4">
        <v>874</v>
      </c>
      <c r="B268" s="18" t="s">
        <v>285</v>
      </c>
      <c r="C268" s="2">
        <v>786</v>
      </c>
      <c r="D268" s="3">
        <v>414.7</v>
      </c>
      <c r="E268" s="4">
        <f t="shared" si="4"/>
        <v>1200.7</v>
      </c>
      <c r="F268" s="3"/>
      <c r="G268" s="5"/>
      <c r="H268" s="4"/>
      <c r="I268" s="2"/>
      <c r="J268" s="3"/>
      <c r="K268" s="7"/>
    </row>
    <row r="269" spans="1:11" x14ac:dyDescent="0.25">
      <c r="A269" s="4">
        <v>875</v>
      </c>
      <c r="B269" s="18" t="s">
        <v>286</v>
      </c>
      <c r="C269" s="2">
        <v>714</v>
      </c>
      <c r="D269" s="3">
        <v>414.7</v>
      </c>
      <c r="E269" s="4">
        <f t="shared" si="4"/>
        <v>1128.7</v>
      </c>
      <c r="F269" s="3"/>
      <c r="G269" s="5"/>
      <c r="H269" s="4"/>
      <c r="I269" s="2"/>
      <c r="J269" s="3"/>
      <c r="K269" s="7"/>
    </row>
    <row r="270" spans="1:11" x14ac:dyDescent="0.25">
      <c r="A270" s="4">
        <v>880</v>
      </c>
      <c r="B270" s="18" t="s">
        <v>287</v>
      </c>
      <c r="C270" s="2">
        <v>2913</v>
      </c>
      <c r="D270" s="3">
        <v>0</v>
      </c>
      <c r="E270" s="4">
        <f t="shared" si="4"/>
        <v>2913</v>
      </c>
      <c r="F270" s="3"/>
      <c r="G270" s="5"/>
      <c r="H270" s="4"/>
      <c r="I270" s="2"/>
      <c r="J270" s="3"/>
      <c r="K270" s="7"/>
    </row>
    <row r="271" spans="1:11" x14ac:dyDescent="0.25">
      <c r="A271" s="4">
        <v>881</v>
      </c>
      <c r="B271" s="18" t="s">
        <v>288</v>
      </c>
      <c r="C271" s="2">
        <v>2913</v>
      </c>
      <c r="D271" s="3">
        <v>0</v>
      </c>
      <c r="E271" s="4">
        <f t="shared" si="4"/>
        <v>2913</v>
      </c>
      <c r="F271" s="3"/>
      <c r="G271" s="5"/>
      <c r="H271" s="4"/>
      <c r="I271" s="2"/>
      <c r="J271" s="3"/>
      <c r="K271" s="7"/>
    </row>
    <row r="272" spans="1:11" x14ac:dyDescent="0.25">
      <c r="A272" s="4">
        <v>882</v>
      </c>
      <c r="B272" s="18" t="s">
        <v>289</v>
      </c>
      <c r="C272" s="2">
        <v>2913</v>
      </c>
      <c r="D272" s="3">
        <v>0</v>
      </c>
      <c r="E272" s="4">
        <f t="shared" si="4"/>
        <v>2913</v>
      </c>
      <c r="F272" s="3"/>
      <c r="G272" s="5"/>
      <c r="H272" s="4"/>
      <c r="I272" s="2"/>
      <c r="J272" s="3"/>
      <c r="K272" s="7"/>
    </row>
    <row r="273" spans="1:11" x14ac:dyDescent="0.25">
      <c r="A273" s="4">
        <v>883</v>
      </c>
      <c r="B273" s="18" t="s">
        <v>290</v>
      </c>
      <c r="C273" s="2">
        <v>2220</v>
      </c>
      <c r="D273" s="3">
        <v>7</v>
      </c>
      <c r="E273" s="4">
        <f t="shared" si="4"/>
        <v>2227</v>
      </c>
      <c r="F273" s="3">
        <v>521.4</v>
      </c>
      <c r="G273" s="5">
        <v>521.4</v>
      </c>
      <c r="H273" s="4"/>
      <c r="I273" s="2"/>
      <c r="J273" s="3"/>
      <c r="K273" s="7"/>
    </row>
    <row r="274" spans="1:11" x14ac:dyDescent="0.25">
      <c r="A274" s="4">
        <v>884</v>
      </c>
      <c r="B274" s="18" t="s">
        <v>291</v>
      </c>
      <c r="C274" s="2">
        <v>2100</v>
      </c>
      <c r="D274" s="3">
        <v>23</v>
      </c>
      <c r="E274" s="4">
        <f t="shared" si="4"/>
        <v>2123</v>
      </c>
      <c r="F274" s="3">
        <v>521.4</v>
      </c>
      <c r="G274" s="5">
        <v>521.4</v>
      </c>
      <c r="H274" s="4"/>
      <c r="I274" s="2"/>
      <c r="J274" s="3"/>
      <c r="K274" s="7"/>
    </row>
    <row r="275" spans="1:11" x14ac:dyDescent="0.25">
      <c r="A275" s="4">
        <v>885</v>
      </c>
      <c r="B275" s="18" t="s">
        <v>292</v>
      </c>
      <c r="C275" s="2">
        <v>1850</v>
      </c>
      <c r="D275" s="3">
        <v>55</v>
      </c>
      <c r="E275" s="4">
        <f t="shared" si="4"/>
        <v>1905</v>
      </c>
      <c r="F275" s="3">
        <v>434.5</v>
      </c>
      <c r="G275" s="5">
        <v>434.5</v>
      </c>
      <c r="H275" s="4"/>
      <c r="I275" s="2"/>
      <c r="J275" s="3"/>
      <c r="K275" s="7"/>
    </row>
    <row r="276" spans="1:11" x14ac:dyDescent="0.25">
      <c r="A276" s="4">
        <v>886</v>
      </c>
      <c r="B276" s="18" t="s">
        <v>293</v>
      </c>
      <c r="C276" s="2">
        <v>1850</v>
      </c>
      <c r="D276" s="3">
        <v>55</v>
      </c>
      <c r="E276" s="4">
        <f t="shared" si="4"/>
        <v>1905</v>
      </c>
      <c r="F276" s="3">
        <v>434.5</v>
      </c>
      <c r="G276" s="5">
        <v>434.5</v>
      </c>
      <c r="H276" s="4"/>
      <c r="I276" s="2"/>
      <c r="J276" s="3"/>
      <c r="K276" s="7"/>
    </row>
    <row r="277" spans="1:11" x14ac:dyDescent="0.25">
      <c r="A277" s="4">
        <v>887</v>
      </c>
      <c r="B277" s="18" t="s">
        <v>294</v>
      </c>
      <c r="C277" s="2">
        <v>1580</v>
      </c>
      <c r="D277" s="3">
        <v>90</v>
      </c>
      <c r="E277" s="4">
        <f t="shared" si="4"/>
        <v>1670</v>
      </c>
      <c r="F277" s="3">
        <v>347.6</v>
      </c>
      <c r="G277" s="5">
        <v>347.6</v>
      </c>
      <c r="H277" s="4"/>
      <c r="I277" s="2"/>
      <c r="J277" s="3"/>
      <c r="K277" s="7"/>
    </row>
    <row r="278" spans="1:11" x14ac:dyDescent="0.25">
      <c r="A278" s="4">
        <v>888</v>
      </c>
      <c r="B278" s="18" t="s">
        <v>295</v>
      </c>
      <c r="C278" s="2">
        <v>1564</v>
      </c>
      <c r="D278" s="3">
        <v>93</v>
      </c>
      <c r="E278" s="4">
        <f t="shared" si="4"/>
        <v>1657</v>
      </c>
      <c r="F278" s="3">
        <v>347.6</v>
      </c>
      <c r="G278" s="5">
        <v>347.6</v>
      </c>
      <c r="H278" s="4"/>
      <c r="I278" s="2"/>
      <c r="J278" s="3"/>
      <c r="K278" s="7"/>
    </row>
    <row r="279" spans="1:11" x14ac:dyDescent="0.25">
      <c r="A279" s="4">
        <v>889</v>
      </c>
      <c r="B279" s="18" t="s">
        <v>296</v>
      </c>
      <c r="C279" s="2">
        <v>1250</v>
      </c>
      <c r="D279" s="3">
        <v>134</v>
      </c>
      <c r="E279" s="4">
        <f t="shared" si="4"/>
        <v>1384</v>
      </c>
      <c r="F279" s="3"/>
      <c r="G279" s="5"/>
      <c r="H279" s="4"/>
      <c r="I279" s="2"/>
      <c r="J279" s="3"/>
      <c r="K279" s="7"/>
    </row>
    <row r="280" spans="1:11" x14ac:dyDescent="0.25">
      <c r="A280" s="4">
        <v>890</v>
      </c>
      <c r="B280" s="18" t="s">
        <v>297</v>
      </c>
      <c r="C280" s="2">
        <v>971</v>
      </c>
      <c r="D280" s="3">
        <v>414.7</v>
      </c>
      <c r="E280" s="4">
        <f t="shared" si="4"/>
        <v>1385.7</v>
      </c>
      <c r="F280" s="3"/>
      <c r="G280" s="5"/>
      <c r="H280" s="4"/>
      <c r="I280" s="2"/>
      <c r="J280" s="3"/>
      <c r="K280" s="7"/>
    </row>
    <row r="281" spans="1:11" x14ac:dyDescent="0.25">
      <c r="A281" s="4">
        <v>891</v>
      </c>
      <c r="B281" s="18" t="s">
        <v>298</v>
      </c>
      <c r="C281" s="2">
        <v>971</v>
      </c>
      <c r="D281" s="3">
        <v>414.7</v>
      </c>
      <c r="E281" s="4">
        <f t="shared" si="4"/>
        <v>1385.7</v>
      </c>
      <c r="F281" s="3"/>
      <c r="G281" s="5"/>
      <c r="H281" s="4"/>
      <c r="I281" s="2"/>
      <c r="J281" s="3"/>
      <c r="K281" s="7"/>
    </row>
    <row r="282" spans="1:11" x14ac:dyDescent="0.25">
      <c r="A282" s="4">
        <v>892</v>
      </c>
      <c r="B282" s="18" t="s">
        <v>299</v>
      </c>
      <c r="C282" s="2">
        <v>951</v>
      </c>
      <c r="D282" s="3">
        <v>414.7</v>
      </c>
      <c r="E282" s="4">
        <f t="shared" si="4"/>
        <v>1365.7</v>
      </c>
      <c r="F282" s="3"/>
      <c r="G282" s="5"/>
      <c r="H282" s="4"/>
      <c r="I282" s="2"/>
      <c r="J282" s="3"/>
      <c r="K282" s="7"/>
    </row>
    <row r="283" spans="1:11" x14ac:dyDescent="0.25">
      <c r="A283" s="4">
        <v>893</v>
      </c>
      <c r="B283" s="18" t="s">
        <v>300</v>
      </c>
      <c r="C283" s="2">
        <v>922</v>
      </c>
      <c r="D283" s="3">
        <v>414.7</v>
      </c>
      <c r="E283" s="4">
        <f t="shared" si="4"/>
        <v>1336.7</v>
      </c>
      <c r="F283" s="3"/>
      <c r="G283" s="5"/>
      <c r="H283" s="4"/>
      <c r="I283" s="2"/>
      <c r="J283" s="3"/>
      <c r="K283" s="7"/>
    </row>
    <row r="284" spans="1:11" x14ac:dyDescent="0.25">
      <c r="A284" s="4">
        <v>903</v>
      </c>
      <c r="B284" s="18" t="s">
        <v>301</v>
      </c>
      <c r="C284" s="2">
        <v>971</v>
      </c>
      <c r="D284" s="3">
        <v>414.7</v>
      </c>
      <c r="E284" s="4">
        <f t="shared" si="4"/>
        <v>1385.7</v>
      </c>
      <c r="F284" s="3"/>
      <c r="G284" s="5"/>
      <c r="H284" s="4">
        <v>150</v>
      </c>
      <c r="I284" s="2"/>
      <c r="J284" s="3"/>
      <c r="K284" s="7"/>
    </row>
    <row r="285" spans="1:11" x14ac:dyDescent="0.25">
      <c r="A285" s="4">
        <v>904</v>
      </c>
      <c r="B285" s="18" t="s">
        <v>302</v>
      </c>
      <c r="C285" s="2">
        <v>971</v>
      </c>
      <c r="D285" s="3">
        <v>414.7</v>
      </c>
      <c r="E285" s="4">
        <f t="shared" si="4"/>
        <v>1385.7</v>
      </c>
      <c r="F285" s="3"/>
      <c r="G285" s="5"/>
      <c r="H285" s="4">
        <v>150</v>
      </c>
      <c r="I285" s="2"/>
      <c r="J285" s="3"/>
      <c r="K285" s="7"/>
    </row>
    <row r="286" spans="1:11" x14ac:dyDescent="0.25">
      <c r="A286" s="4">
        <v>905</v>
      </c>
      <c r="B286" s="18" t="s">
        <v>303</v>
      </c>
      <c r="C286" s="2">
        <v>971</v>
      </c>
      <c r="D286" s="3">
        <v>414.7</v>
      </c>
      <c r="E286" s="4">
        <f t="shared" si="4"/>
        <v>1385.7</v>
      </c>
      <c r="F286" s="3"/>
      <c r="G286" s="5"/>
      <c r="H286" s="4">
        <v>150</v>
      </c>
      <c r="I286" s="2"/>
      <c r="J286" s="3"/>
      <c r="K286" s="7"/>
    </row>
    <row r="287" spans="1:11" x14ac:dyDescent="0.25">
      <c r="A287" s="4">
        <v>906</v>
      </c>
      <c r="B287" s="18" t="s">
        <v>304</v>
      </c>
      <c r="C287" s="2">
        <v>1942</v>
      </c>
      <c r="D287" s="3">
        <v>43</v>
      </c>
      <c r="E287" s="4">
        <f t="shared" si="4"/>
        <v>1985</v>
      </c>
      <c r="F287" s="3">
        <v>517.29999999999995</v>
      </c>
      <c r="G287" s="5">
        <v>647</v>
      </c>
      <c r="H287" s="4"/>
      <c r="I287" s="2"/>
      <c r="J287" s="8">
        <v>782</v>
      </c>
      <c r="K287" s="7"/>
    </row>
    <row r="288" spans="1:11" x14ac:dyDescent="0.25">
      <c r="A288" s="4">
        <v>907</v>
      </c>
      <c r="B288" s="18" t="s">
        <v>305</v>
      </c>
      <c r="C288" s="2">
        <v>1782</v>
      </c>
      <c r="D288" s="3">
        <v>64</v>
      </c>
      <c r="E288" s="4">
        <f t="shared" si="4"/>
        <v>1846</v>
      </c>
      <c r="F288" s="3">
        <v>465.3</v>
      </c>
      <c r="G288" s="5">
        <v>582</v>
      </c>
      <c r="H288" s="4"/>
      <c r="I288" s="2"/>
      <c r="J288" s="8">
        <v>782</v>
      </c>
      <c r="K288" s="7"/>
    </row>
    <row r="289" spans="1:11" x14ac:dyDescent="0.25">
      <c r="A289" s="4">
        <v>908</v>
      </c>
      <c r="B289" s="18" t="s">
        <v>306</v>
      </c>
      <c r="C289" s="2">
        <v>1692</v>
      </c>
      <c r="D289" s="3">
        <v>76</v>
      </c>
      <c r="E289" s="4">
        <f t="shared" si="4"/>
        <v>1768</v>
      </c>
      <c r="F289" s="3">
        <v>362.7</v>
      </c>
      <c r="G289" s="5" t="s">
        <v>78</v>
      </c>
      <c r="H289" s="4"/>
      <c r="I289" s="2"/>
      <c r="J289" s="3"/>
      <c r="K289" s="7"/>
    </row>
    <row r="290" spans="1:11" x14ac:dyDescent="0.25">
      <c r="A290" s="4">
        <v>909</v>
      </c>
      <c r="B290" s="18" t="s">
        <v>307</v>
      </c>
      <c r="C290" s="2">
        <v>1592</v>
      </c>
      <c r="D290" s="3">
        <v>89</v>
      </c>
      <c r="E290" s="4">
        <f t="shared" si="4"/>
        <v>1681</v>
      </c>
      <c r="F290" s="3">
        <v>465.3</v>
      </c>
      <c r="G290" s="5">
        <v>388</v>
      </c>
      <c r="H290" s="4"/>
      <c r="I290" s="2"/>
      <c r="J290" s="3"/>
      <c r="K290" s="7"/>
    </row>
    <row r="291" spans="1:11" x14ac:dyDescent="0.25">
      <c r="A291" s="4">
        <v>910</v>
      </c>
      <c r="B291" s="18" t="s">
        <v>308</v>
      </c>
      <c r="C291" s="2">
        <v>1942</v>
      </c>
      <c r="D291" s="3">
        <v>43</v>
      </c>
      <c r="E291" s="4">
        <f t="shared" si="4"/>
        <v>1985</v>
      </c>
      <c r="F291" s="3">
        <v>517.29999999999995</v>
      </c>
      <c r="G291" s="5">
        <v>647</v>
      </c>
      <c r="H291" s="4">
        <v>150</v>
      </c>
      <c r="I291" s="2"/>
      <c r="J291" s="3"/>
      <c r="K291" s="7"/>
    </row>
    <row r="292" spans="1:11" x14ac:dyDescent="0.25">
      <c r="A292" s="4">
        <v>911</v>
      </c>
      <c r="B292" s="18" t="s">
        <v>309</v>
      </c>
      <c r="C292" s="2">
        <v>1592</v>
      </c>
      <c r="D292" s="3">
        <v>89</v>
      </c>
      <c r="E292" s="4">
        <f t="shared" si="4"/>
        <v>1681</v>
      </c>
      <c r="F292" s="3">
        <v>466.7</v>
      </c>
      <c r="G292" s="5">
        <v>582</v>
      </c>
      <c r="H292" s="4"/>
      <c r="I292" s="2"/>
      <c r="J292" s="3"/>
      <c r="K292" s="7"/>
    </row>
    <row r="293" spans="1:11" x14ac:dyDescent="0.25">
      <c r="A293" s="4">
        <v>912</v>
      </c>
      <c r="B293" s="18" t="s">
        <v>310</v>
      </c>
      <c r="C293" s="2">
        <v>1782</v>
      </c>
      <c r="D293" s="3">
        <v>64</v>
      </c>
      <c r="E293" s="4">
        <f t="shared" si="4"/>
        <v>1846</v>
      </c>
      <c r="F293" s="3">
        <v>465.3</v>
      </c>
      <c r="G293" s="5">
        <v>582</v>
      </c>
      <c r="H293" s="4">
        <v>17</v>
      </c>
      <c r="I293" s="2"/>
      <c r="J293" s="3"/>
      <c r="K293" s="7"/>
    </row>
    <row r="294" spans="1:11" x14ac:dyDescent="0.25">
      <c r="A294" s="4">
        <v>913</v>
      </c>
      <c r="B294" s="18" t="s">
        <v>311</v>
      </c>
      <c r="C294" s="2">
        <v>1700</v>
      </c>
      <c r="D294" s="3">
        <v>75</v>
      </c>
      <c r="E294" s="4">
        <f t="shared" si="4"/>
        <v>1775</v>
      </c>
      <c r="F294" s="3">
        <v>413.3</v>
      </c>
      <c r="G294" s="5">
        <v>516</v>
      </c>
      <c r="H294" s="4"/>
      <c r="I294" s="2"/>
      <c r="J294" s="8">
        <v>769</v>
      </c>
      <c r="K294" s="7"/>
    </row>
    <row r="295" spans="1:11" x14ac:dyDescent="0.25">
      <c r="A295" s="4">
        <v>914</v>
      </c>
      <c r="B295" s="18" t="s">
        <v>312</v>
      </c>
      <c r="C295" s="2">
        <v>1600</v>
      </c>
      <c r="D295" s="3">
        <v>88</v>
      </c>
      <c r="E295" s="4">
        <f t="shared" si="4"/>
        <v>1688</v>
      </c>
      <c r="F295" s="3">
        <v>309.3</v>
      </c>
      <c r="G295" s="5">
        <v>388</v>
      </c>
      <c r="H295" s="4"/>
      <c r="I295" s="2"/>
      <c r="J295" s="8">
        <v>738</v>
      </c>
      <c r="K295" s="7"/>
    </row>
    <row r="296" spans="1:11" x14ac:dyDescent="0.25">
      <c r="A296" s="4">
        <v>915</v>
      </c>
      <c r="B296" s="18" t="s">
        <v>313</v>
      </c>
      <c r="C296" s="2">
        <v>1700</v>
      </c>
      <c r="D296" s="3">
        <v>75</v>
      </c>
      <c r="E296" s="4">
        <f t="shared" si="4"/>
        <v>1775</v>
      </c>
      <c r="F296" s="3">
        <v>310.7</v>
      </c>
      <c r="G296" s="5">
        <v>388</v>
      </c>
      <c r="H296" s="4">
        <v>150</v>
      </c>
      <c r="I296" s="2"/>
      <c r="J296" s="3"/>
      <c r="K296" s="7"/>
    </row>
    <row r="297" spans="1:11" x14ac:dyDescent="0.25">
      <c r="A297" s="4">
        <v>916</v>
      </c>
      <c r="B297" s="18" t="s">
        <v>314</v>
      </c>
      <c r="C297" s="2">
        <v>1300</v>
      </c>
      <c r="D297" s="3">
        <v>127</v>
      </c>
      <c r="E297" s="4">
        <f t="shared" si="4"/>
        <v>1427</v>
      </c>
      <c r="F297" s="3">
        <v>310.7</v>
      </c>
      <c r="G297" s="5">
        <v>388</v>
      </c>
      <c r="H297" s="4"/>
      <c r="I297" s="2"/>
      <c r="J297" s="3"/>
      <c r="K297" s="7"/>
    </row>
    <row r="298" spans="1:11" x14ac:dyDescent="0.25">
      <c r="A298" s="4">
        <v>917</v>
      </c>
      <c r="B298" s="18" t="s">
        <v>181</v>
      </c>
      <c r="C298" s="2">
        <v>971</v>
      </c>
      <c r="D298" s="3">
        <v>414.7</v>
      </c>
      <c r="E298" s="4">
        <f t="shared" si="4"/>
        <v>1385.7</v>
      </c>
      <c r="F298" s="3"/>
      <c r="G298" s="5"/>
      <c r="H298" s="4"/>
      <c r="I298" s="2"/>
      <c r="J298" s="3"/>
      <c r="K298" s="7"/>
    </row>
    <row r="299" spans="1:11" x14ac:dyDescent="0.25">
      <c r="A299" s="4">
        <v>918</v>
      </c>
      <c r="B299" s="18" t="s">
        <v>315</v>
      </c>
      <c r="C299" s="2">
        <v>971</v>
      </c>
      <c r="D299" s="3">
        <v>414.7</v>
      </c>
      <c r="E299" s="4">
        <f t="shared" si="4"/>
        <v>1385.7</v>
      </c>
      <c r="F299" s="3"/>
      <c r="G299" s="5"/>
      <c r="H299" s="4">
        <v>150</v>
      </c>
      <c r="I299" s="2"/>
      <c r="J299" s="3"/>
      <c r="K299" s="7"/>
    </row>
    <row r="300" spans="1:11" x14ac:dyDescent="0.25">
      <c r="A300" s="4">
        <v>919</v>
      </c>
      <c r="B300" s="18" t="s">
        <v>316</v>
      </c>
      <c r="C300" s="2">
        <v>971</v>
      </c>
      <c r="D300" s="3">
        <v>414.7</v>
      </c>
      <c r="E300" s="4">
        <f t="shared" si="4"/>
        <v>1385.7</v>
      </c>
      <c r="F300" s="3"/>
      <c r="G300" s="5"/>
      <c r="H300" s="4">
        <v>17</v>
      </c>
      <c r="I300" s="2"/>
      <c r="J300" s="3"/>
      <c r="K300" s="7"/>
    </row>
    <row r="301" spans="1:11" x14ac:dyDescent="0.25">
      <c r="A301" s="4">
        <v>920</v>
      </c>
      <c r="B301" s="18" t="s">
        <v>317</v>
      </c>
      <c r="C301" s="2">
        <v>971</v>
      </c>
      <c r="D301" s="3">
        <v>414.7</v>
      </c>
      <c r="E301" s="4">
        <f t="shared" ref="E301:E340" si="5">C301+D301</f>
        <v>1385.7</v>
      </c>
      <c r="F301" s="3"/>
      <c r="G301" s="5"/>
      <c r="H301" s="4">
        <v>150</v>
      </c>
      <c r="I301" s="2"/>
      <c r="J301" s="3"/>
      <c r="K301" s="7"/>
    </row>
    <row r="302" spans="1:11" x14ac:dyDescent="0.25">
      <c r="A302" s="4">
        <v>921</v>
      </c>
      <c r="B302" s="18" t="s">
        <v>318</v>
      </c>
      <c r="C302" s="2">
        <v>971</v>
      </c>
      <c r="D302" s="3">
        <v>414.7</v>
      </c>
      <c r="E302" s="4">
        <f t="shared" si="5"/>
        <v>1385.7</v>
      </c>
      <c r="F302" s="3"/>
      <c r="G302" s="5"/>
      <c r="H302" s="4"/>
      <c r="I302" s="2"/>
      <c r="J302" s="3"/>
      <c r="K302" s="7"/>
    </row>
    <row r="303" spans="1:11" x14ac:dyDescent="0.25">
      <c r="A303" s="4">
        <v>922</v>
      </c>
      <c r="B303" s="18" t="s">
        <v>319</v>
      </c>
      <c r="C303" s="2">
        <v>971</v>
      </c>
      <c r="D303" s="3">
        <v>414.7</v>
      </c>
      <c r="E303" s="4">
        <f t="shared" si="5"/>
        <v>1385.7</v>
      </c>
      <c r="F303" s="3"/>
      <c r="G303" s="5"/>
      <c r="H303" s="4"/>
      <c r="I303" s="2"/>
      <c r="J303" s="3"/>
      <c r="K303" s="7"/>
    </row>
    <row r="304" spans="1:11" x14ac:dyDescent="0.25">
      <c r="A304" s="4">
        <v>923</v>
      </c>
      <c r="B304" s="18" t="s">
        <v>320</v>
      </c>
      <c r="C304" s="2">
        <v>971</v>
      </c>
      <c r="D304" s="3">
        <v>414.7</v>
      </c>
      <c r="E304" s="4">
        <f t="shared" si="5"/>
        <v>1385.7</v>
      </c>
      <c r="F304" s="3"/>
      <c r="G304" s="5"/>
      <c r="H304" s="4"/>
      <c r="I304" s="2"/>
      <c r="J304" s="3"/>
      <c r="K304" s="7"/>
    </row>
    <row r="305" spans="1:11" x14ac:dyDescent="0.25">
      <c r="A305" s="4">
        <v>924</v>
      </c>
      <c r="B305" s="18" t="s">
        <v>321</v>
      </c>
      <c r="C305" s="2">
        <v>971</v>
      </c>
      <c r="D305" s="3">
        <v>414.7</v>
      </c>
      <c r="E305" s="4">
        <f t="shared" si="5"/>
        <v>1385.7</v>
      </c>
      <c r="F305" s="3"/>
      <c r="G305" s="5"/>
      <c r="H305" s="4">
        <v>150</v>
      </c>
      <c r="I305" s="2"/>
      <c r="J305" s="3"/>
      <c r="K305" s="7"/>
    </row>
    <row r="306" spans="1:11" x14ac:dyDescent="0.25">
      <c r="A306" s="4">
        <v>925</v>
      </c>
      <c r="B306" s="18" t="s">
        <v>96</v>
      </c>
      <c r="C306" s="2">
        <v>971</v>
      </c>
      <c r="D306" s="3">
        <v>414.7</v>
      </c>
      <c r="E306" s="4">
        <f t="shared" si="5"/>
        <v>1385.7</v>
      </c>
      <c r="F306" s="3"/>
      <c r="G306" s="5"/>
      <c r="H306" s="4"/>
      <c r="I306" s="2"/>
      <c r="J306" s="3"/>
      <c r="K306" s="7"/>
    </row>
    <row r="307" spans="1:11" x14ac:dyDescent="0.25">
      <c r="A307" s="4">
        <v>926</v>
      </c>
      <c r="B307" s="18" t="s">
        <v>322</v>
      </c>
      <c r="C307" s="2">
        <v>1500</v>
      </c>
      <c r="D307" s="3">
        <v>101</v>
      </c>
      <c r="E307" s="4">
        <f t="shared" si="5"/>
        <v>1601</v>
      </c>
      <c r="F307" s="3"/>
      <c r="G307" s="5"/>
      <c r="H307" s="4">
        <v>150</v>
      </c>
      <c r="I307" s="2"/>
      <c r="J307" s="3"/>
      <c r="K307" s="7"/>
    </row>
    <row r="308" spans="1:11" x14ac:dyDescent="0.25">
      <c r="A308" s="4">
        <v>927</v>
      </c>
      <c r="B308" s="18" t="s">
        <v>323</v>
      </c>
      <c r="C308" s="2">
        <v>1500</v>
      </c>
      <c r="D308" s="3">
        <v>101</v>
      </c>
      <c r="E308" s="4">
        <f t="shared" si="5"/>
        <v>1601</v>
      </c>
      <c r="F308" s="3"/>
      <c r="G308" s="5"/>
      <c r="H308" s="4">
        <v>150</v>
      </c>
      <c r="I308" s="2"/>
      <c r="J308" s="3"/>
      <c r="K308" s="7"/>
    </row>
    <row r="309" spans="1:11" x14ac:dyDescent="0.25">
      <c r="A309" s="4">
        <v>928</v>
      </c>
      <c r="B309" s="18" t="s">
        <v>324</v>
      </c>
      <c r="C309" s="2">
        <v>1500</v>
      </c>
      <c r="D309" s="3">
        <v>101</v>
      </c>
      <c r="E309" s="4">
        <f t="shared" si="5"/>
        <v>1601</v>
      </c>
      <c r="F309" s="3"/>
      <c r="G309" s="5"/>
      <c r="H309" s="4">
        <v>150</v>
      </c>
      <c r="I309" s="2"/>
      <c r="J309" s="3"/>
      <c r="K309" s="7"/>
    </row>
    <row r="310" spans="1:11" x14ac:dyDescent="0.25">
      <c r="A310" s="4">
        <v>929</v>
      </c>
      <c r="B310" s="18" t="s">
        <v>325</v>
      </c>
      <c r="C310" s="2">
        <v>971</v>
      </c>
      <c r="D310" s="3">
        <v>414.7</v>
      </c>
      <c r="E310" s="4">
        <f t="shared" si="5"/>
        <v>1385.7</v>
      </c>
      <c r="F310" s="3"/>
      <c r="G310" s="5"/>
      <c r="H310" s="4">
        <v>150</v>
      </c>
      <c r="I310" s="2"/>
      <c r="J310" s="3"/>
      <c r="K310" s="7"/>
    </row>
    <row r="311" spans="1:11" x14ac:dyDescent="0.25">
      <c r="A311" s="4">
        <v>930</v>
      </c>
      <c r="B311" s="18" t="s">
        <v>326</v>
      </c>
      <c r="C311" s="2">
        <v>1592</v>
      </c>
      <c r="D311" s="3">
        <v>89</v>
      </c>
      <c r="E311" s="4">
        <f t="shared" si="5"/>
        <v>1681</v>
      </c>
      <c r="F311" s="3">
        <v>310.7</v>
      </c>
      <c r="G311" s="5" t="s">
        <v>67</v>
      </c>
      <c r="H311" s="4"/>
      <c r="I311" s="2"/>
      <c r="J311" s="3"/>
      <c r="K311" s="7"/>
    </row>
    <row r="312" spans="1:11" x14ac:dyDescent="0.25">
      <c r="A312" s="4">
        <v>931</v>
      </c>
      <c r="B312" s="18" t="s">
        <v>327</v>
      </c>
      <c r="C312" s="2">
        <v>971</v>
      </c>
      <c r="D312" s="3">
        <v>414.7</v>
      </c>
      <c r="E312" s="4">
        <f t="shared" si="5"/>
        <v>1385.7</v>
      </c>
      <c r="F312" s="3"/>
      <c r="G312" s="5"/>
      <c r="H312" s="4"/>
      <c r="I312" s="2"/>
      <c r="J312" s="3"/>
      <c r="K312" s="7"/>
    </row>
    <row r="313" spans="1:11" x14ac:dyDescent="0.25">
      <c r="A313" s="4">
        <v>932</v>
      </c>
      <c r="B313" s="18" t="s">
        <v>328</v>
      </c>
      <c r="C313" s="11">
        <v>2220</v>
      </c>
      <c r="D313" s="3">
        <v>7</v>
      </c>
      <c r="E313" s="4">
        <f t="shared" si="5"/>
        <v>2227</v>
      </c>
      <c r="F313" s="3">
        <v>521.4</v>
      </c>
      <c r="G313" s="5"/>
      <c r="H313" s="4"/>
      <c r="I313" s="2"/>
      <c r="J313" s="3"/>
      <c r="K313" s="7"/>
    </row>
    <row r="314" spans="1:11" x14ac:dyDescent="0.25">
      <c r="A314" s="4">
        <v>933</v>
      </c>
      <c r="B314" s="18" t="s">
        <v>329</v>
      </c>
      <c r="C314" s="11">
        <v>1580</v>
      </c>
      <c r="D314" s="3">
        <v>90</v>
      </c>
      <c r="E314" s="4">
        <f t="shared" si="5"/>
        <v>1670</v>
      </c>
      <c r="F314" s="3">
        <v>347.6</v>
      </c>
      <c r="G314" s="5"/>
      <c r="H314" s="4"/>
      <c r="I314" s="2"/>
      <c r="J314" s="3"/>
      <c r="K314" s="7"/>
    </row>
    <row r="315" spans="1:11" x14ac:dyDescent="0.25">
      <c r="A315" s="4">
        <v>934</v>
      </c>
      <c r="B315" s="18" t="s">
        <v>330</v>
      </c>
      <c r="C315" s="11">
        <v>1480</v>
      </c>
      <c r="D315" s="3">
        <v>104</v>
      </c>
      <c r="E315" s="4">
        <f t="shared" si="5"/>
        <v>1584</v>
      </c>
      <c r="F315" s="3"/>
      <c r="G315" s="5"/>
      <c r="H315" s="4"/>
      <c r="I315" s="2"/>
      <c r="J315" s="3"/>
      <c r="K315" s="7"/>
    </row>
    <row r="316" spans="1:11" x14ac:dyDescent="0.25">
      <c r="A316" s="4">
        <v>935</v>
      </c>
      <c r="B316" s="18" t="s">
        <v>331</v>
      </c>
      <c r="C316" s="2">
        <v>971</v>
      </c>
      <c r="D316" s="3">
        <v>414.7</v>
      </c>
      <c r="E316" s="4">
        <f t="shared" si="5"/>
        <v>1385.7</v>
      </c>
      <c r="F316" s="3"/>
      <c r="G316" s="5"/>
      <c r="H316" s="4"/>
      <c r="I316" s="2"/>
      <c r="J316" s="3"/>
      <c r="K316" s="7"/>
    </row>
    <row r="317" spans="1:11" x14ac:dyDescent="0.25">
      <c r="A317" s="4">
        <v>936</v>
      </c>
      <c r="B317" s="18" t="s">
        <v>332</v>
      </c>
      <c r="C317" s="11">
        <v>1250</v>
      </c>
      <c r="D317" s="3">
        <v>134</v>
      </c>
      <c r="E317" s="4">
        <f t="shared" si="5"/>
        <v>1384</v>
      </c>
      <c r="F317" s="3"/>
      <c r="G317" s="5"/>
      <c r="H317" s="4"/>
      <c r="I317" s="2"/>
      <c r="J317" s="3"/>
      <c r="K317" s="7"/>
    </row>
    <row r="318" spans="1:11" x14ac:dyDescent="0.25">
      <c r="A318" s="4">
        <v>937</v>
      </c>
      <c r="B318" s="18" t="s">
        <v>333</v>
      </c>
      <c r="C318" s="11">
        <v>971</v>
      </c>
      <c r="D318" s="3">
        <v>414.7</v>
      </c>
      <c r="E318" s="4">
        <f t="shared" si="5"/>
        <v>1385.7</v>
      </c>
      <c r="F318" s="3"/>
      <c r="G318" s="5"/>
      <c r="H318" s="4"/>
      <c r="I318" s="2"/>
      <c r="J318" s="3"/>
      <c r="K318" s="7"/>
    </row>
    <row r="319" spans="1:11" x14ac:dyDescent="0.25">
      <c r="A319" s="4">
        <v>938</v>
      </c>
      <c r="B319" s="18" t="s">
        <v>334</v>
      </c>
      <c r="C319" s="2">
        <v>971</v>
      </c>
      <c r="D319" s="3">
        <v>414.7</v>
      </c>
      <c r="E319" s="4">
        <f t="shared" si="5"/>
        <v>1385.7</v>
      </c>
      <c r="F319" s="3"/>
      <c r="G319" s="5"/>
      <c r="H319" s="4">
        <v>150</v>
      </c>
      <c r="I319" s="2"/>
      <c r="J319" s="3"/>
      <c r="K319" s="7"/>
    </row>
    <row r="320" spans="1:11" x14ac:dyDescent="0.25">
      <c r="A320" s="4">
        <v>939</v>
      </c>
      <c r="B320" s="18" t="s">
        <v>335</v>
      </c>
      <c r="C320" s="2">
        <v>971</v>
      </c>
      <c r="D320" s="3">
        <v>414.7</v>
      </c>
      <c r="E320" s="4">
        <f t="shared" si="5"/>
        <v>1385.7</v>
      </c>
      <c r="F320" s="3"/>
      <c r="G320" s="5"/>
      <c r="H320" s="4">
        <v>150</v>
      </c>
      <c r="I320" s="2"/>
      <c r="J320" s="3"/>
      <c r="K320" s="7"/>
    </row>
    <row r="321" spans="1:11" x14ac:dyDescent="0.25">
      <c r="A321" s="4">
        <v>940</v>
      </c>
      <c r="B321" s="18" t="s">
        <v>336</v>
      </c>
      <c r="C321" s="2">
        <v>1692</v>
      </c>
      <c r="D321" s="3">
        <v>76</v>
      </c>
      <c r="E321" s="4">
        <f t="shared" si="5"/>
        <v>1768</v>
      </c>
      <c r="F321" s="3">
        <v>362.7</v>
      </c>
      <c r="G321" s="5" t="s">
        <v>78</v>
      </c>
      <c r="H321" s="4"/>
      <c r="I321" s="2"/>
      <c r="J321" s="3"/>
      <c r="K321" s="7"/>
    </row>
    <row r="322" spans="1:11" x14ac:dyDescent="0.25">
      <c r="A322" s="4">
        <v>941</v>
      </c>
      <c r="B322" s="18" t="s">
        <v>337</v>
      </c>
      <c r="C322" s="2">
        <v>1942</v>
      </c>
      <c r="D322" s="3">
        <v>43</v>
      </c>
      <c r="E322" s="4">
        <f t="shared" si="5"/>
        <v>1985</v>
      </c>
      <c r="F322" s="3">
        <v>517.29999999999995</v>
      </c>
      <c r="G322" s="5" t="s">
        <v>73</v>
      </c>
      <c r="H322" s="4"/>
      <c r="I322" s="2"/>
      <c r="J322" s="3"/>
      <c r="K322" s="7"/>
    </row>
    <row r="323" spans="1:11" x14ac:dyDescent="0.25">
      <c r="A323" s="4">
        <v>942</v>
      </c>
      <c r="B323" s="18" t="s">
        <v>338</v>
      </c>
      <c r="C323" s="2">
        <v>1782</v>
      </c>
      <c r="D323" s="3">
        <v>64</v>
      </c>
      <c r="E323" s="4">
        <f t="shared" si="5"/>
        <v>1846</v>
      </c>
      <c r="F323" s="3">
        <v>465.3</v>
      </c>
      <c r="G323" s="5" t="s">
        <v>76</v>
      </c>
      <c r="H323" s="4"/>
      <c r="I323" s="2"/>
      <c r="J323" s="3"/>
      <c r="K323" s="7"/>
    </row>
    <row r="324" spans="1:11" x14ac:dyDescent="0.25">
      <c r="A324" s="4">
        <v>943</v>
      </c>
      <c r="B324" s="18" t="s">
        <v>339</v>
      </c>
      <c r="C324" s="2">
        <v>1500</v>
      </c>
      <c r="D324" s="3">
        <v>101</v>
      </c>
      <c r="E324" s="4">
        <f t="shared" si="5"/>
        <v>1601</v>
      </c>
      <c r="F324" s="3"/>
      <c r="G324" s="5"/>
      <c r="H324" s="4">
        <v>150</v>
      </c>
      <c r="I324" s="2"/>
      <c r="J324" s="3"/>
      <c r="K324" s="7"/>
    </row>
    <row r="325" spans="1:11" x14ac:dyDescent="0.25">
      <c r="A325" s="4">
        <v>944</v>
      </c>
      <c r="B325" s="18" t="s">
        <v>340</v>
      </c>
      <c r="C325" s="2">
        <v>1400</v>
      </c>
      <c r="D325" s="3">
        <v>114</v>
      </c>
      <c r="E325" s="4">
        <f t="shared" si="5"/>
        <v>1514</v>
      </c>
      <c r="F325" s="3">
        <v>310.7</v>
      </c>
      <c r="G325" s="5" t="s">
        <v>67</v>
      </c>
      <c r="H325" s="4"/>
      <c r="I325" s="2"/>
      <c r="J325" s="3"/>
      <c r="K325" s="7"/>
    </row>
    <row r="326" spans="1:11" x14ac:dyDescent="0.25">
      <c r="A326" s="4">
        <v>945</v>
      </c>
      <c r="B326" s="18" t="s">
        <v>341</v>
      </c>
      <c r="C326" s="2">
        <v>1782</v>
      </c>
      <c r="D326" s="3">
        <v>64</v>
      </c>
      <c r="E326" s="4">
        <f t="shared" si="5"/>
        <v>1846</v>
      </c>
      <c r="F326" s="3">
        <v>310.7</v>
      </c>
      <c r="G326" s="5" t="s">
        <v>67</v>
      </c>
      <c r="H326" s="4"/>
      <c r="I326" s="2">
        <v>669</v>
      </c>
      <c r="J326" s="3"/>
      <c r="K326" s="7"/>
    </row>
    <row r="327" spans="1:11" x14ac:dyDescent="0.25">
      <c r="A327" s="4">
        <v>946</v>
      </c>
      <c r="B327" s="18" t="s">
        <v>342</v>
      </c>
      <c r="C327" s="2">
        <v>971</v>
      </c>
      <c r="D327" s="3">
        <v>214</v>
      </c>
      <c r="E327" s="4">
        <f t="shared" si="5"/>
        <v>1185</v>
      </c>
      <c r="F327" s="3"/>
      <c r="G327" s="5"/>
      <c r="H327" s="4"/>
      <c r="I327" s="2">
        <v>620</v>
      </c>
      <c r="J327" s="3"/>
      <c r="K327" s="7"/>
    </row>
    <row r="328" spans="1:11" x14ac:dyDescent="0.25">
      <c r="A328" s="4">
        <v>947</v>
      </c>
      <c r="B328" s="18" t="s">
        <v>343</v>
      </c>
      <c r="C328" s="2">
        <v>971</v>
      </c>
      <c r="D328" s="3">
        <v>214</v>
      </c>
      <c r="E328" s="4">
        <f t="shared" si="5"/>
        <v>1185</v>
      </c>
      <c r="F328" s="3"/>
      <c r="G328" s="5"/>
      <c r="H328" s="4"/>
      <c r="I328" s="2">
        <v>155</v>
      </c>
      <c r="J328" s="3"/>
      <c r="K328" s="7"/>
    </row>
    <row r="329" spans="1:11" x14ac:dyDescent="0.25">
      <c r="A329" s="4">
        <v>948</v>
      </c>
      <c r="B329" s="18" t="s">
        <v>344</v>
      </c>
      <c r="C329" s="2">
        <v>1300</v>
      </c>
      <c r="D329" s="3">
        <v>127</v>
      </c>
      <c r="E329" s="4">
        <f t="shared" si="5"/>
        <v>1427</v>
      </c>
      <c r="F329" s="3">
        <v>310.7</v>
      </c>
      <c r="G329" s="5" t="s">
        <v>67</v>
      </c>
      <c r="H329" s="4"/>
      <c r="I329" s="2">
        <v>620</v>
      </c>
      <c r="J329" s="3"/>
      <c r="K329" s="7"/>
    </row>
    <row r="330" spans="1:11" x14ac:dyDescent="0.25">
      <c r="A330" s="4">
        <v>949</v>
      </c>
      <c r="B330" s="18" t="s">
        <v>345</v>
      </c>
      <c r="C330" s="2">
        <v>1500</v>
      </c>
      <c r="D330" s="3">
        <v>101</v>
      </c>
      <c r="E330" s="4">
        <f t="shared" si="5"/>
        <v>1601</v>
      </c>
      <c r="F330" s="3"/>
      <c r="G330" s="5"/>
      <c r="H330" s="4">
        <v>150</v>
      </c>
      <c r="I330" s="2"/>
      <c r="J330" s="3"/>
      <c r="K330" s="7"/>
    </row>
    <row r="331" spans="1:11" x14ac:dyDescent="0.25">
      <c r="A331" s="4">
        <v>950</v>
      </c>
      <c r="B331" s="18" t="s">
        <v>346</v>
      </c>
      <c r="C331" s="2">
        <v>1500</v>
      </c>
      <c r="D331" s="3">
        <v>101</v>
      </c>
      <c r="E331" s="4">
        <f t="shared" si="5"/>
        <v>1601</v>
      </c>
      <c r="F331" s="3"/>
      <c r="G331" s="5"/>
      <c r="H331" s="4">
        <v>150</v>
      </c>
      <c r="I331" s="2"/>
      <c r="J331" s="3"/>
      <c r="K331" s="7"/>
    </row>
    <row r="332" spans="1:11" x14ac:dyDescent="0.25">
      <c r="A332" s="4">
        <v>951</v>
      </c>
      <c r="B332" s="18" t="s">
        <v>347</v>
      </c>
      <c r="C332" s="2">
        <v>1500</v>
      </c>
      <c r="D332" s="3">
        <v>101</v>
      </c>
      <c r="E332" s="4">
        <f t="shared" si="5"/>
        <v>1601</v>
      </c>
      <c r="F332" s="3"/>
      <c r="G332" s="5"/>
      <c r="H332" s="4">
        <v>150</v>
      </c>
      <c r="I332" s="2"/>
      <c r="J332" s="3"/>
      <c r="K332" s="7"/>
    </row>
    <row r="333" spans="1:11" x14ac:dyDescent="0.25">
      <c r="A333" s="4">
        <v>952</v>
      </c>
      <c r="B333" s="18" t="s">
        <v>348</v>
      </c>
      <c r="C333" s="2">
        <v>971</v>
      </c>
      <c r="D333" s="3">
        <v>214</v>
      </c>
      <c r="E333" s="4">
        <f t="shared" si="5"/>
        <v>1185</v>
      </c>
      <c r="F333" s="3"/>
      <c r="G333" s="5"/>
      <c r="H333" s="4"/>
      <c r="I333" s="2">
        <v>155</v>
      </c>
      <c r="J333" s="3"/>
      <c r="K333" s="7"/>
    </row>
    <row r="334" spans="1:11" x14ac:dyDescent="0.25">
      <c r="A334" s="4">
        <v>953</v>
      </c>
      <c r="B334" s="18" t="s">
        <v>349</v>
      </c>
      <c r="C334" s="2">
        <v>971</v>
      </c>
      <c r="D334" s="3">
        <v>214</v>
      </c>
      <c r="E334" s="4">
        <f t="shared" si="5"/>
        <v>1185</v>
      </c>
      <c r="F334" s="3"/>
      <c r="G334" s="5"/>
      <c r="H334" s="4"/>
      <c r="I334" s="2">
        <v>155</v>
      </c>
      <c r="J334" s="3"/>
      <c r="K334" s="7"/>
    </row>
    <row r="335" spans="1:11" x14ac:dyDescent="0.25">
      <c r="A335" s="4">
        <v>954</v>
      </c>
      <c r="B335" s="18" t="s">
        <v>350</v>
      </c>
      <c r="C335" s="2">
        <v>1600</v>
      </c>
      <c r="D335" s="3">
        <v>88</v>
      </c>
      <c r="E335" s="4">
        <f t="shared" si="5"/>
        <v>1688</v>
      </c>
      <c r="F335" s="3">
        <v>310.7</v>
      </c>
      <c r="G335" s="12">
        <v>388</v>
      </c>
      <c r="H335" s="4"/>
      <c r="I335" s="2">
        <v>657</v>
      </c>
      <c r="J335" s="3"/>
      <c r="K335" s="7"/>
    </row>
    <row r="336" spans="1:11" x14ac:dyDescent="0.25">
      <c r="A336" s="4">
        <v>955</v>
      </c>
      <c r="B336" s="18" t="s">
        <v>351</v>
      </c>
      <c r="C336" s="2">
        <v>971</v>
      </c>
      <c r="D336" s="3">
        <v>414.7</v>
      </c>
      <c r="E336" s="4">
        <f t="shared" si="5"/>
        <v>1385.7</v>
      </c>
      <c r="F336" s="3"/>
      <c r="G336" s="5"/>
      <c r="H336" s="4">
        <v>150</v>
      </c>
      <c r="I336" s="2"/>
      <c r="J336" s="3"/>
      <c r="K336" s="7"/>
    </row>
    <row r="337" spans="1:11" x14ac:dyDescent="0.25">
      <c r="A337" s="4">
        <v>956</v>
      </c>
      <c r="B337" s="18" t="s">
        <v>352</v>
      </c>
      <c r="C337" s="2">
        <v>1692</v>
      </c>
      <c r="D337" s="3">
        <v>76</v>
      </c>
      <c r="E337" s="4">
        <f t="shared" si="5"/>
        <v>1768</v>
      </c>
      <c r="F337" s="3">
        <v>362.7</v>
      </c>
      <c r="G337" s="12">
        <v>388</v>
      </c>
      <c r="H337" s="4"/>
      <c r="I337" s="2">
        <v>663</v>
      </c>
      <c r="J337" s="3"/>
      <c r="K337" s="7"/>
    </row>
    <row r="338" spans="1:11" x14ac:dyDescent="0.25">
      <c r="A338" s="4">
        <v>957</v>
      </c>
      <c r="B338" s="18" t="s">
        <v>353</v>
      </c>
      <c r="C338" s="2">
        <v>1700</v>
      </c>
      <c r="D338" s="3">
        <v>75</v>
      </c>
      <c r="E338" s="4">
        <f t="shared" si="5"/>
        <v>1775</v>
      </c>
      <c r="F338" s="3">
        <v>413.3</v>
      </c>
      <c r="G338" s="12">
        <v>516</v>
      </c>
      <c r="H338" s="4"/>
      <c r="I338" s="2"/>
      <c r="J338" s="3"/>
      <c r="K338" s="7"/>
    </row>
    <row r="339" spans="1:11" x14ac:dyDescent="0.25">
      <c r="A339" s="4">
        <v>959</v>
      </c>
      <c r="B339" s="18" t="s">
        <v>354</v>
      </c>
      <c r="C339" s="2">
        <v>1942</v>
      </c>
      <c r="D339" s="3">
        <v>43</v>
      </c>
      <c r="E339" s="4">
        <f t="shared" si="5"/>
        <v>1985</v>
      </c>
      <c r="F339" s="3">
        <v>388</v>
      </c>
      <c r="G339" s="12">
        <v>647</v>
      </c>
      <c r="H339" s="4">
        <v>17</v>
      </c>
      <c r="I339" s="2"/>
      <c r="J339" s="3"/>
      <c r="K339" s="7"/>
    </row>
    <row r="340" spans="1:11" x14ac:dyDescent="0.25">
      <c r="A340" s="4">
        <v>960</v>
      </c>
      <c r="B340" s="18" t="s">
        <v>355</v>
      </c>
      <c r="C340" s="2">
        <v>1600</v>
      </c>
      <c r="D340" s="3">
        <v>88</v>
      </c>
      <c r="E340" s="4">
        <f t="shared" si="5"/>
        <v>1688</v>
      </c>
      <c r="F340" s="3">
        <v>233</v>
      </c>
      <c r="G340" s="12">
        <v>388</v>
      </c>
      <c r="H340" s="4">
        <v>17</v>
      </c>
      <c r="I340" s="2"/>
      <c r="J340" s="3"/>
      <c r="K340" s="7"/>
    </row>
    <row r="341" spans="1:11" x14ac:dyDescent="0.25">
      <c r="A341" s="4">
        <v>961</v>
      </c>
      <c r="B341" s="18" t="s">
        <v>356</v>
      </c>
      <c r="C341" s="2"/>
      <c r="D341" s="3"/>
      <c r="E341" s="4"/>
      <c r="F341" s="3">
        <v>347.6</v>
      </c>
      <c r="G341" s="5"/>
      <c r="H341" s="4"/>
      <c r="I341" s="2"/>
      <c r="J341" s="3"/>
      <c r="K341" s="7"/>
    </row>
    <row r="342" spans="1:11" x14ac:dyDescent="0.25">
      <c r="A342" s="4">
        <v>962</v>
      </c>
      <c r="B342" s="18" t="s">
        <v>357</v>
      </c>
      <c r="C342" s="2"/>
      <c r="D342" s="3"/>
      <c r="E342" s="4"/>
      <c r="F342" s="3"/>
      <c r="G342" s="5"/>
      <c r="H342" s="4"/>
      <c r="I342" s="2"/>
      <c r="J342" s="3"/>
      <c r="K342" s="7"/>
    </row>
    <row r="343" spans="1:11" x14ac:dyDescent="0.25">
      <c r="A343" s="4">
        <v>963</v>
      </c>
      <c r="B343" s="18" t="s">
        <v>358</v>
      </c>
      <c r="C343" s="11">
        <v>951</v>
      </c>
      <c r="D343" s="3">
        <v>414.7</v>
      </c>
      <c r="E343" s="4">
        <f>C343+D343</f>
        <v>1365.7</v>
      </c>
      <c r="F343" s="3"/>
      <c r="G343" s="5"/>
      <c r="H343" s="4"/>
      <c r="I343" s="2"/>
      <c r="J343" s="3"/>
      <c r="K343" s="7"/>
    </row>
    <row r="344" spans="1:11" x14ac:dyDescent="0.25">
      <c r="A344" s="4">
        <v>964</v>
      </c>
      <c r="B344" s="18" t="s">
        <v>359</v>
      </c>
      <c r="C344" s="2">
        <v>1500</v>
      </c>
      <c r="D344" s="3">
        <v>101</v>
      </c>
      <c r="E344" s="4">
        <f>C344+D344</f>
        <v>1601</v>
      </c>
      <c r="F344" s="3">
        <v>310</v>
      </c>
      <c r="G344" s="5">
        <v>388</v>
      </c>
      <c r="H344" s="4">
        <v>17</v>
      </c>
      <c r="I344" s="2"/>
      <c r="J344" s="3"/>
      <c r="K344" s="7"/>
    </row>
    <row r="345" spans="1:11" x14ac:dyDescent="0.25">
      <c r="A345" s="4">
        <v>965</v>
      </c>
      <c r="B345" s="18" t="s">
        <v>360</v>
      </c>
      <c r="C345" s="2">
        <v>1700</v>
      </c>
      <c r="D345" s="3">
        <v>75</v>
      </c>
      <c r="E345" s="4">
        <f>C345+D345</f>
        <v>1775</v>
      </c>
      <c r="F345" s="3">
        <v>310</v>
      </c>
      <c r="G345" s="5">
        <v>388</v>
      </c>
      <c r="H345" s="4">
        <v>17</v>
      </c>
      <c r="I345" s="2"/>
      <c r="J345" s="3"/>
      <c r="K345" s="7"/>
    </row>
    <row r="346" spans="1:11" x14ac:dyDescent="0.25">
      <c r="A346" s="4">
        <v>966</v>
      </c>
      <c r="B346" s="18" t="s">
        <v>361</v>
      </c>
      <c r="C346" s="2"/>
      <c r="D346" s="3"/>
      <c r="E346" s="4"/>
      <c r="F346" s="3">
        <v>434.5</v>
      </c>
      <c r="G346" s="5"/>
      <c r="H346" s="4"/>
      <c r="I346" s="2"/>
      <c r="J346" s="3"/>
      <c r="K346" s="7"/>
    </row>
    <row r="347" spans="1:11" x14ac:dyDescent="0.25">
      <c r="A347" s="4">
        <v>967</v>
      </c>
      <c r="B347" s="18" t="s">
        <v>362</v>
      </c>
      <c r="C347" s="2"/>
      <c r="D347" s="3"/>
      <c r="E347" s="4"/>
      <c r="F347" s="3"/>
      <c r="G347" s="5"/>
      <c r="H347" s="4"/>
      <c r="I347" s="2"/>
      <c r="J347" s="3"/>
      <c r="K347" s="7"/>
    </row>
    <row r="348" spans="1:11" x14ac:dyDescent="0.25">
      <c r="A348" s="4">
        <v>969</v>
      </c>
      <c r="B348" s="18" t="s">
        <v>363</v>
      </c>
      <c r="C348" s="2">
        <v>1942</v>
      </c>
      <c r="D348" s="3">
        <v>43</v>
      </c>
      <c r="E348" s="4">
        <f t="shared" ref="E348:E361" si="6">C348+D348</f>
        <v>1985</v>
      </c>
      <c r="F348" s="3"/>
      <c r="G348" s="5">
        <v>647</v>
      </c>
      <c r="H348" s="4">
        <v>150</v>
      </c>
      <c r="I348" s="2"/>
      <c r="J348" s="3"/>
      <c r="K348" s="7"/>
    </row>
    <row r="349" spans="1:11" x14ac:dyDescent="0.25">
      <c r="A349" s="4">
        <v>970</v>
      </c>
      <c r="B349" s="18" t="s">
        <v>364</v>
      </c>
      <c r="C349" s="11">
        <v>1480</v>
      </c>
      <c r="D349" s="3">
        <v>104</v>
      </c>
      <c r="E349" s="4">
        <f t="shared" si="6"/>
        <v>1584</v>
      </c>
      <c r="F349" s="3"/>
      <c r="G349" s="5"/>
      <c r="H349" s="4"/>
      <c r="I349" s="2"/>
      <c r="J349" s="3"/>
      <c r="K349" s="7"/>
    </row>
    <row r="350" spans="1:11" x14ac:dyDescent="0.25">
      <c r="A350" s="4">
        <v>971</v>
      </c>
      <c r="B350" s="18" t="s">
        <v>365</v>
      </c>
      <c r="C350" s="2">
        <v>1400</v>
      </c>
      <c r="D350" s="3">
        <v>114</v>
      </c>
      <c r="E350" s="4">
        <f t="shared" si="6"/>
        <v>1514</v>
      </c>
      <c r="F350" s="3">
        <v>310.7</v>
      </c>
      <c r="G350" s="5">
        <v>388</v>
      </c>
      <c r="H350" s="4">
        <v>150</v>
      </c>
      <c r="I350" s="2"/>
      <c r="J350" s="3"/>
      <c r="K350" s="7"/>
    </row>
    <row r="351" spans="1:11" x14ac:dyDescent="0.25">
      <c r="A351" s="4">
        <v>972</v>
      </c>
      <c r="B351" s="18" t="s">
        <v>366</v>
      </c>
      <c r="C351" s="2">
        <v>1692</v>
      </c>
      <c r="D351" s="3">
        <v>76</v>
      </c>
      <c r="E351" s="4">
        <f t="shared" si="6"/>
        <v>1768</v>
      </c>
      <c r="F351" s="3">
        <v>362.7</v>
      </c>
      <c r="G351" s="5">
        <v>453</v>
      </c>
      <c r="H351" s="4">
        <v>17</v>
      </c>
      <c r="I351" s="2"/>
      <c r="J351" s="3"/>
      <c r="K351" s="7"/>
    </row>
    <row r="352" spans="1:11" x14ac:dyDescent="0.25">
      <c r="A352" s="4">
        <v>973</v>
      </c>
      <c r="B352" s="18" t="s">
        <v>367</v>
      </c>
      <c r="C352" s="2">
        <v>1592</v>
      </c>
      <c r="D352" s="3">
        <v>89</v>
      </c>
      <c r="E352" s="4">
        <f t="shared" si="6"/>
        <v>1681</v>
      </c>
      <c r="F352" s="3">
        <v>310.7</v>
      </c>
      <c r="G352" s="5">
        <v>388</v>
      </c>
      <c r="H352" s="4">
        <v>17</v>
      </c>
      <c r="I352" s="2"/>
      <c r="J352" s="3"/>
      <c r="K352" s="7"/>
    </row>
    <row r="353" spans="1:11" x14ac:dyDescent="0.25">
      <c r="A353" s="4">
        <v>974</v>
      </c>
      <c r="B353" s="18" t="s">
        <v>368</v>
      </c>
      <c r="C353" s="2">
        <v>1500</v>
      </c>
      <c r="D353" s="3">
        <v>101</v>
      </c>
      <c r="E353" s="4">
        <f t="shared" si="6"/>
        <v>1601</v>
      </c>
      <c r="F353" s="3"/>
      <c r="G353" s="5"/>
      <c r="H353" s="4">
        <v>150</v>
      </c>
      <c r="I353" s="2"/>
      <c r="J353" s="3"/>
      <c r="K353" s="7"/>
    </row>
    <row r="354" spans="1:11" x14ac:dyDescent="0.25">
      <c r="A354" s="4">
        <v>976</v>
      </c>
      <c r="B354" s="18" t="s">
        <v>192</v>
      </c>
      <c r="C354" s="2">
        <v>971</v>
      </c>
      <c r="D354" s="3">
        <v>414.7</v>
      </c>
      <c r="E354" s="4">
        <f t="shared" si="6"/>
        <v>1385.7</v>
      </c>
      <c r="F354" s="3"/>
      <c r="G354" s="5"/>
      <c r="H354" s="4"/>
      <c r="I354" s="2"/>
      <c r="J354" s="3"/>
      <c r="K354" s="7"/>
    </row>
    <row r="355" spans="1:11" x14ac:dyDescent="0.25">
      <c r="A355" s="4">
        <v>977</v>
      </c>
      <c r="B355" s="18" t="s">
        <v>369</v>
      </c>
      <c r="C355" s="2">
        <v>971</v>
      </c>
      <c r="D355" s="3">
        <v>414.7</v>
      </c>
      <c r="E355" s="4">
        <f t="shared" si="6"/>
        <v>1385.7</v>
      </c>
      <c r="F355" s="3"/>
      <c r="G355" s="5"/>
      <c r="H355" s="4"/>
      <c r="I355" s="2"/>
      <c r="J355" s="3"/>
      <c r="K355" s="7"/>
    </row>
    <row r="356" spans="1:11" x14ac:dyDescent="0.25">
      <c r="A356" s="4">
        <v>978</v>
      </c>
      <c r="B356" s="18" t="s">
        <v>193</v>
      </c>
      <c r="C356" s="2">
        <v>971</v>
      </c>
      <c r="D356" s="3">
        <v>414.7</v>
      </c>
      <c r="E356" s="4">
        <f t="shared" si="6"/>
        <v>1385.7</v>
      </c>
      <c r="F356" s="3"/>
      <c r="G356" s="5"/>
      <c r="H356" s="4"/>
      <c r="I356" s="2"/>
      <c r="J356" s="3"/>
      <c r="K356" s="7"/>
    </row>
    <row r="357" spans="1:11" x14ac:dyDescent="0.25">
      <c r="A357" s="4">
        <v>979</v>
      </c>
      <c r="B357" s="18" t="s">
        <v>370</v>
      </c>
      <c r="C357" s="2">
        <v>1400</v>
      </c>
      <c r="D357" s="3">
        <v>114</v>
      </c>
      <c r="E357" s="4">
        <f t="shared" si="6"/>
        <v>1514</v>
      </c>
      <c r="F357" s="3">
        <v>310.7</v>
      </c>
      <c r="G357" s="2">
        <v>388</v>
      </c>
      <c r="H357" s="4">
        <v>17</v>
      </c>
      <c r="I357" s="2"/>
      <c r="J357" s="3"/>
      <c r="K357" s="7"/>
    </row>
    <row r="358" spans="1:11" x14ac:dyDescent="0.25">
      <c r="A358" s="4">
        <v>980</v>
      </c>
      <c r="B358" s="18" t="s">
        <v>371</v>
      </c>
      <c r="C358" s="2">
        <v>1300</v>
      </c>
      <c r="D358" s="3">
        <v>127</v>
      </c>
      <c r="E358" s="4">
        <f t="shared" si="6"/>
        <v>1427</v>
      </c>
      <c r="F358" s="3">
        <v>310.7</v>
      </c>
      <c r="G358" s="2">
        <v>388</v>
      </c>
      <c r="H358" s="4">
        <v>17</v>
      </c>
      <c r="I358" s="2"/>
      <c r="J358" s="3"/>
      <c r="K358" s="7"/>
    </row>
    <row r="359" spans="1:11" x14ac:dyDescent="0.25">
      <c r="A359" s="4">
        <v>981</v>
      </c>
      <c r="B359" s="18" t="s">
        <v>372</v>
      </c>
      <c r="C359" s="2">
        <v>1250</v>
      </c>
      <c r="D359" s="3">
        <v>134</v>
      </c>
      <c r="E359" s="4">
        <f t="shared" si="6"/>
        <v>1384</v>
      </c>
      <c r="F359" s="3">
        <v>310.7</v>
      </c>
      <c r="G359" s="5">
        <v>388</v>
      </c>
      <c r="H359" s="4">
        <v>17</v>
      </c>
      <c r="I359" s="2"/>
      <c r="J359" s="3"/>
      <c r="K359" s="7"/>
    </row>
    <row r="360" spans="1:11" x14ac:dyDescent="0.25">
      <c r="A360" s="4">
        <v>982</v>
      </c>
      <c r="B360" s="18" t="s">
        <v>373</v>
      </c>
      <c r="C360" s="2">
        <v>971</v>
      </c>
      <c r="D360" s="3">
        <v>414.7</v>
      </c>
      <c r="E360" s="4">
        <f t="shared" si="6"/>
        <v>1385.7</v>
      </c>
      <c r="F360" s="3"/>
      <c r="G360" s="5"/>
      <c r="H360" s="4">
        <v>17</v>
      </c>
      <c r="I360" s="2"/>
      <c r="J360" s="3"/>
      <c r="K360" s="7"/>
    </row>
    <row r="361" spans="1:11" x14ac:dyDescent="0.25">
      <c r="A361" s="4">
        <v>983</v>
      </c>
      <c r="B361" s="18" t="s">
        <v>374</v>
      </c>
      <c r="C361" s="2">
        <v>690</v>
      </c>
      <c r="D361" s="3">
        <v>414.7</v>
      </c>
      <c r="E361" s="4">
        <f t="shared" si="6"/>
        <v>1104.7</v>
      </c>
      <c r="F361" s="3"/>
      <c r="G361" s="5"/>
      <c r="H361" s="4"/>
      <c r="I361" s="2"/>
      <c r="J361" s="3"/>
      <c r="K361" s="7"/>
    </row>
    <row r="362" spans="1:11" x14ac:dyDescent="0.25">
      <c r="A362" s="4">
        <v>984</v>
      </c>
      <c r="B362" s="18" t="s">
        <v>375</v>
      </c>
      <c r="C362" s="2"/>
      <c r="D362" s="3"/>
      <c r="E362" s="4"/>
      <c r="F362" s="3"/>
      <c r="G362" s="5"/>
      <c r="H362" s="4"/>
      <c r="I362" s="2"/>
      <c r="J362" s="3"/>
      <c r="K362" s="7"/>
    </row>
    <row r="363" spans="1:11" x14ac:dyDescent="0.25">
      <c r="A363" s="4">
        <v>985</v>
      </c>
      <c r="B363" s="18" t="s">
        <v>376</v>
      </c>
      <c r="C363" s="2">
        <v>2913</v>
      </c>
      <c r="D363" s="3">
        <v>0</v>
      </c>
      <c r="E363" s="4">
        <f>C363+D363</f>
        <v>2913</v>
      </c>
      <c r="F363" s="3"/>
      <c r="G363" s="5"/>
      <c r="H363" s="4"/>
      <c r="I363" s="2"/>
      <c r="J363" s="3"/>
      <c r="K363" s="7"/>
    </row>
    <row r="364" spans="1:11" x14ac:dyDescent="0.25">
      <c r="A364" s="4">
        <v>986</v>
      </c>
      <c r="B364" s="18" t="s">
        <v>377</v>
      </c>
      <c r="C364" s="2">
        <v>644</v>
      </c>
      <c r="D364" s="3">
        <v>414.7</v>
      </c>
      <c r="E364" s="4">
        <f>C364+D364</f>
        <v>1058.7</v>
      </c>
      <c r="F364" s="3"/>
      <c r="G364" s="5"/>
      <c r="H364" s="4"/>
      <c r="I364" s="2"/>
      <c r="J364" s="3"/>
      <c r="K364" s="7"/>
    </row>
    <row r="365" spans="1:11" x14ac:dyDescent="0.25">
      <c r="A365" s="4">
        <v>987</v>
      </c>
      <c r="B365" s="18" t="s">
        <v>378</v>
      </c>
      <c r="C365" s="11">
        <v>1170</v>
      </c>
      <c r="D365" s="3">
        <v>144</v>
      </c>
      <c r="E365" s="4">
        <f>C365+D365</f>
        <v>1314</v>
      </c>
      <c r="F365" s="3"/>
      <c r="G365" s="5"/>
      <c r="H365" s="4"/>
      <c r="I365" s="2"/>
      <c r="J365" s="3"/>
      <c r="K365" s="7"/>
    </row>
    <row r="366" spans="1:11" x14ac:dyDescent="0.25">
      <c r="A366" s="4">
        <v>990</v>
      </c>
      <c r="B366" s="18" t="s">
        <v>379</v>
      </c>
      <c r="C366" s="2"/>
      <c r="D366" s="3"/>
      <c r="E366" s="4"/>
      <c r="F366" s="3"/>
      <c r="G366" s="5"/>
      <c r="H366" s="4"/>
      <c r="I366" s="2"/>
      <c r="J366" s="3"/>
      <c r="K366" s="7"/>
    </row>
    <row r="367" spans="1:11" x14ac:dyDescent="0.25">
      <c r="A367" s="4">
        <v>991</v>
      </c>
      <c r="B367" s="18" t="s">
        <v>380</v>
      </c>
      <c r="C367" s="2"/>
      <c r="D367" s="3"/>
      <c r="E367" s="4"/>
      <c r="F367" s="3"/>
      <c r="G367" s="5"/>
      <c r="H367" s="4"/>
      <c r="I367" s="2"/>
      <c r="J367" s="3"/>
      <c r="K367" s="7"/>
    </row>
    <row r="368" spans="1:11" x14ac:dyDescent="0.25">
      <c r="A368" s="4">
        <v>992</v>
      </c>
      <c r="B368" s="18" t="s">
        <v>381</v>
      </c>
      <c r="C368" s="2">
        <v>1500</v>
      </c>
      <c r="D368" s="3">
        <v>101</v>
      </c>
      <c r="E368" s="4">
        <f>C368+D368</f>
        <v>1601</v>
      </c>
      <c r="F368" s="3">
        <v>310.7</v>
      </c>
      <c r="G368" s="2">
        <v>388</v>
      </c>
      <c r="H368" s="4"/>
      <c r="I368" s="2"/>
      <c r="J368" s="3"/>
      <c r="K368" s="7"/>
    </row>
    <row r="369" spans="1:11" x14ac:dyDescent="0.25">
      <c r="A369" s="4">
        <v>993</v>
      </c>
      <c r="B369" s="18" t="s">
        <v>382</v>
      </c>
      <c r="C369" s="2">
        <v>1400</v>
      </c>
      <c r="D369" s="3">
        <v>114</v>
      </c>
      <c r="E369" s="4">
        <f>C369+D369</f>
        <v>1514</v>
      </c>
      <c r="F369" s="3"/>
      <c r="G369" s="2">
        <v>388</v>
      </c>
      <c r="H369" s="4"/>
      <c r="I369" s="2">
        <v>657</v>
      </c>
      <c r="J369" s="3"/>
      <c r="K369" s="7"/>
    </row>
    <row r="370" spans="1:11" x14ac:dyDescent="0.25">
      <c r="A370" s="4">
        <v>994</v>
      </c>
      <c r="B370" s="18" t="s">
        <v>383</v>
      </c>
      <c r="C370" s="2">
        <v>1250</v>
      </c>
      <c r="D370" s="3">
        <v>134</v>
      </c>
      <c r="E370" s="4">
        <f>C370+D370</f>
        <v>1384</v>
      </c>
      <c r="F370" s="3">
        <v>347.6</v>
      </c>
      <c r="G370" s="2">
        <v>388</v>
      </c>
      <c r="H370" s="4"/>
      <c r="I370" s="2">
        <v>657</v>
      </c>
      <c r="J370" s="3"/>
      <c r="K370" s="7"/>
    </row>
    <row r="371" spans="1:11" x14ac:dyDescent="0.25">
      <c r="A371" s="4">
        <v>995</v>
      </c>
      <c r="B371" s="18" t="s">
        <v>384</v>
      </c>
      <c r="C371" s="11">
        <v>1564</v>
      </c>
      <c r="D371" s="3">
        <v>93</v>
      </c>
      <c r="E371" s="4">
        <f>C371+D371</f>
        <v>1657</v>
      </c>
      <c r="F371" s="3"/>
      <c r="G371" s="5"/>
      <c r="H371" s="4"/>
      <c r="I371" s="2"/>
      <c r="J371" s="3"/>
      <c r="K371" s="7"/>
    </row>
    <row r="372" spans="1:11" x14ac:dyDescent="0.25">
      <c r="A372" s="4">
        <v>999</v>
      </c>
      <c r="B372" s="18" t="s">
        <v>385</v>
      </c>
      <c r="C372" s="2">
        <v>1250</v>
      </c>
      <c r="D372" s="3">
        <v>134</v>
      </c>
      <c r="E372" s="4">
        <f>C372+D372</f>
        <v>1384</v>
      </c>
      <c r="F372" s="3">
        <v>310.7</v>
      </c>
      <c r="G372" s="2">
        <v>388</v>
      </c>
      <c r="H372" s="4"/>
      <c r="I372" s="2"/>
      <c r="J372" s="3"/>
      <c r="K372" s="7"/>
    </row>
  </sheetData>
  <sheetProtection algorithmName="SHA-512" hashValue="1osopXLwW/14GjLpAot5/tmu5npxVR0mzpDsd1mIgbvbECl6na7F3tXNT2cC2+zS/XQR/gfawVRZ4B2FZBPwkA==" saltValue="XqrZP64thfogp79MNUdD8g==" spinCount="100000" sheet="1" objects="1" scenarios="1"/>
  <phoneticPr fontId="13" type="noConversion"/>
  <conditionalFormatting sqref="K147">
    <cfRule type="cellIs" dxfId="6" priority="1" operator="greaterThan">
      <formula>0</formula>
    </cfRule>
  </conditionalFormatting>
  <conditionalFormatting sqref="K146 K144 K140:K141 K137:K138 K5:K135 K1:K2 K148:K372">
    <cfRule type="cellIs" dxfId="5" priority="7" operator="greaterThan">
      <formula>0</formula>
    </cfRule>
  </conditionalFormatting>
  <conditionalFormatting sqref="K136">
    <cfRule type="cellIs" dxfId="4" priority="6" operator="greaterThan">
      <formula>0</formula>
    </cfRule>
  </conditionalFormatting>
  <conditionalFormatting sqref="K139">
    <cfRule type="cellIs" dxfId="3" priority="5" operator="greaterThan">
      <formula>0</formula>
    </cfRule>
  </conditionalFormatting>
  <conditionalFormatting sqref="K142">
    <cfRule type="cellIs" dxfId="2" priority="4" operator="greaterThan">
      <formula>0</formula>
    </cfRule>
  </conditionalFormatting>
  <conditionalFormatting sqref="K143">
    <cfRule type="cellIs" dxfId="1" priority="3" operator="greaterThan">
      <formula>0</formula>
    </cfRule>
  </conditionalFormatting>
  <conditionalFormatting sqref="K145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54</vt:i4>
      </vt:variant>
    </vt:vector>
  </HeadingPairs>
  <TitlesOfParts>
    <vt:vector size="56" baseType="lpstr">
      <vt:lpstr>Recibo</vt:lpstr>
      <vt:lpstr>Cargos</vt:lpstr>
      <vt:lpstr>adicdir2016</vt:lpstr>
      <vt:lpstr>adicdir2022</vt:lpstr>
      <vt:lpstr>adichsmedia</vt:lpstr>
      <vt:lpstr>adicnina</vt:lpstr>
      <vt:lpstr>aumentojulio26</vt:lpstr>
      <vt:lpstr>aumentomayo26</vt:lpstr>
      <vt:lpstr>aumentoseptiembre26</vt:lpstr>
      <vt:lpstr>cod06cargosdic25</vt:lpstr>
      <vt:lpstr>cod06dic25</vt:lpstr>
      <vt:lpstr>compbasico2016</vt:lpstr>
      <vt:lpstr>descreformacargo</vt:lpstr>
      <vt:lpstr>descreformamed</vt:lpstr>
      <vt:lpstr>descreformasup</vt:lpstr>
      <vt:lpstr>frac</vt:lpstr>
      <vt:lpstr>indicedic25</vt:lpstr>
      <vt:lpstr>indicejul26</vt:lpstr>
      <vt:lpstr>indicemay26</vt:lpstr>
      <vt:lpstr>Indiceproljordic25</vt:lpstr>
      <vt:lpstr>Indiceproljorjul26</vt:lpstr>
      <vt:lpstr>Indiceproljormay26</vt:lpstr>
      <vt:lpstr>Indiceproljorsep26</vt:lpstr>
      <vt:lpstr>indicesep26</vt:lpstr>
      <vt:lpstr>NEP</vt:lpstr>
      <vt:lpstr>nina</vt:lpstr>
      <vt:lpstr>nombrecargo</vt:lpstr>
      <vt:lpstr>numcargo</vt:lpstr>
      <vt:lpstr>numerocargo</vt:lpstr>
      <vt:lpstr>numhorasmed</vt:lpstr>
      <vt:lpstr>numhorassup</vt:lpstr>
      <vt:lpstr>porant</vt:lpstr>
      <vt:lpstr>porcantigcargo</vt:lpstr>
      <vt:lpstr>porcantighorasmed</vt:lpstr>
      <vt:lpstr>porcantigsup</vt:lpstr>
      <vt:lpstr>porczona</vt:lpstr>
      <vt:lpstr>porjubcar</vt:lpstr>
      <vt:lpstr>porjubhormed</vt:lpstr>
      <vt:lpstr>porjubhorsup</vt:lpstr>
      <vt:lpstr>proljor</vt:lpstr>
      <vt:lpstr>punbascargo</vt:lpstr>
      <vt:lpstr>punbasjub</vt:lpstr>
      <vt:lpstr>punexten</vt:lpstr>
      <vt:lpstr>puntosadicdir2016</vt:lpstr>
      <vt:lpstr>puntosadicdir2022</vt:lpstr>
      <vt:lpstr>puntosadicnina</vt:lpstr>
      <vt:lpstr>PUNTOSbasicos</vt:lpstr>
      <vt:lpstr>puntoscompbas2016</vt:lpstr>
      <vt:lpstr>puntosnep</vt:lpstr>
      <vt:lpstr>puntosproljor</vt:lpstr>
      <vt:lpstr>puntosproljornada</vt:lpstr>
      <vt:lpstr>puntostareadifer</vt:lpstr>
      <vt:lpstr>puntostotalhorassup</vt:lpstr>
      <vt:lpstr>puntotalhorasmed</vt:lpstr>
      <vt:lpstr>solohorassup</vt:lpstr>
      <vt:lpstr>tardif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huttvictor@gmail.com</dc:creator>
  <cp:lastModifiedBy>huttvictor@gmail.com</cp:lastModifiedBy>
  <dcterms:created xsi:type="dcterms:W3CDTF">2026-03-30T12:56:40Z</dcterms:created>
  <dcterms:modified xsi:type="dcterms:W3CDTF">2026-07-23T03:28:34Z</dcterms:modified>
</cp:coreProperties>
</file>