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51F3E7C3-49AD-4197-90D7-849C80BC551A}" xr6:coauthVersionLast="47" xr6:coauthVersionMax="47" xr10:uidLastSave="{00000000-0000-0000-0000-000000000000}"/>
  <workbookProtection workbookAlgorithmName="SHA-512" workbookHashValue="tiT7+gRDv23xWddxLTJ8teDD8Q4ozt1z8GJZZUt1xhYIFhwMn6FnMwfj/zLNgh/7s8Euo3tBez4iKiJNzQ1mdg==" workbookSaltValue="QrFu9zFsrIaaX4URltjLvQ==" workbookSpinCount="100000" lockStructure="1"/>
  <bookViews>
    <workbookView xWindow="-120" yWindow="-120" windowWidth="20730" windowHeight="11760" xr2:uid="{4A87D5B5-E57C-467D-95DD-A54EDCE4F562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Recibo!$D$217</definedName>
    <definedName name="adicnina">Cargos!$J$3:$J$372</definedName>
    <definedName name="aumentodiciembre26">Recibo!$E$47</definedName>
    <definedName name="aumentojulio26">Recibo!$E$44</definedName>
    <definedName name="aumentomayo26">Recibo!$E$43</definedName>
    <definedName name="aumentonoviembre26">Recibo!$E$46</definedName>
    <definedName name="Aumentooct24">Recibo!#REF!</definedName>
    <definedName name="Aumentooct25respene25">Recibo!#REF!</definedName>
    <definedName name="Aumentosep24">Recibo!#REF!</definedName>
    <definedName name="Aumentosep25respene25">Recibo!#REF!</definedName>
    <definedName name="aumentoseptiembre26">Recibo!$E$45</definedName>
    <definedName name="cod06cargosdic25">Recibo!$C$54:$C$65</definedName>
    <definedName name="cod06dic25">Recibo!$D$41</definedName>
    <definedName name="compbasico2016">Recibo!$F$76</definedName>
    <definedName name="descreformacargo">Recibo!$C$92</definedName>
    <definedName name="descreformamed">Recibo!$C$227</definedName>
    <definedName name="descreformasup">Recibo!$C$350</definedName>
    <definedName name="frac">Recibo!$F$79</definedName>
    <definedName name="indicedic25">Recibo!$C$39</definedName>
    <definedName name="indicedic26">Recibo!$M$39</definedName>
    <definedName name="indicejul26">Recibo!$G$39</definedName>
    <definedName name="indicemay26">Recibo!$E$39</definedName>
    <definedName name="indicenov26">Recibo!$K$39</definedName>
    <definedName name="Indiceproljordic25">Recibo!$C$40</definedName>
    <definedName name="Indiceproljordic26">Recibo!$M$40</definedName>
    <definedName name="Indiceproljorjul26">Recibo!$G$40</definedName>
    <definedName name="Indiceproljormay26">Recibo!$E$40</definedName>
    <definedName name="Indiceproljornov26">Recibo!$K$40</definedName>
    <definedName name="Indiceproljorsep26">Recibo!$I$40</definedName>
    <definedName name="indicesep26">Recibo!$I$39</definedName>
    <definedName name="NEP">Recibo!$D$80</definedName>
    <definedName name="nina">Recibo!$F$80</definedName>
    <definedName name="nombrecargo">Cargos!$B$3:$B$372</definedName>
    <definedName name="numcargo">Cargos!$A$3:$A$372</definedName>
    <definedName name="numerocargo">Recibo!$A$76</definedName>
    <definedName name="numhorasmed">Recibo!$D$214</definedName>
    <definedName name="numhorassup">Recibo!$D$340</definedName>
    <definedName name="porant">Recibo!$B$54:$B$65</definedName>
    <definedName name="porcantigcargo">Recibo!$D$85</definedName>
    <definedName name="porcantighorasmed">Recibo!$D$215</definedName>
    <definedName name="porcantigsup">Recibo!$D$341</definedName>
    <definedName name="porczona">Recibo!$B$79</definedName>
    <definedName name="porjubcar">Recibo!$F$81</definedName>
    <definedName name="porjubhormed">Recibo!$D$216</definedName>
    <definedName name="porjubhorsup">Recibo!$D$342</definedName>
    <definedName name="proljor">Cargos!$I$3:$I$372</definedName>
    <definedName name="punbascargo">Cargos!$C$3:$C$372</definedName>
    <definedName name="punbasjub">Recibo!$D$87</definedName>
    <definedName name="punexten">Cargos!$K$3:$K$372</definedName>
    <definedName name="puntosadicdir2016">Recibo!$G$76</definedName>
    <definedName name="puntosadicdir2022">Recibo!$I$76</definedName>
    <definedName name="puntosadicnina">Recibo!$H$76</definedName>
    <definedName name="PUNTOSbasicos">Recibo!$B$76</definedName>
    <definedName name="puntoscompbas2016">Cargos!$D$3:$D$372</definedName>
    <definedName name="puntosnep">Recibo!$I$78</definedName>
    <definedName name="puntosproljor">Recibo!$G$87</definedName>
    <definedName name="puntosproljornada">Recibo!$D$76</definedName>
    <definedName name="puntostareadifer">Recibo!$C$76</definedName>
    <definedName name="puntostotalhorassup">Recibo!$D$404</definedName>
    <definedName name="puntotalhorasmed">Recibo!$D$282</definedName>
    <definedName name="solohorassup">Recibo!$D$343</definedName>
    <definedName name="tardif">Cargos!$H$3:$H$372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08" i="1" l="1" a="1"/>
  <c r="E408" i="1" s="1"/>
  <c r="E285" i="1" a="1"/>
  <c r="E285" i="1" s="1"/>
  <c r="E166" i="1" a="1"/>
  <c r="E166" i="1" s="1"/>
  <c r="E158" i="1" a="1"/>
  <c r="E158" i="1" s="1"/>
  <c r="E156" i="1" a="1"/>
  <c r="E156" i="1" s="1"/>
  <c r="E155" i="1" a="1"/>
  <c r="E155" i="1" s="1"/>
  <c r="E154" i="1" a="1"/>
  <c r="E154" i="1" s="1"/>
  <c r="E161" i="1" a="1"/>
  <c r="E161" i="1" s="1"/>
  <c r="E157" i="1" a="1"/>
  <c r="E157" i="1" s="1"/>
  <c r="G161" i="1"/>
  <c r="G157" i="1"/>
  <c r="G408" i="1"/>
  <c r="G285" i="1"/>
  <c r="G166" i="1"/>
  <c r="G158" i="1"/>
  <c r="G156" i="1"/>
  <c r="G155" i="1"/>
  <c r="G154" i="1"/>
  <c r="I161" i="1"/>
  <c r="I157" i="1"/>
  <c r="I408" i="1"/>
  <c r="I285" i="1"/>
  <c r="I166" i="1"/>
  <c r="I158" i="1"/>
  <c r="I156" i="1"/>
  <c r="I155" i="1"/>
  <c r="I154" i="1"/>
  <c r="L42" i="1"/>
  <c r="L41" i="1"/>
  <c r="J42" i="1"/>
  <c r="J41" i="1"/>
  <c r="H42" i="1"/>
  <c r="H41" i="1"/>
  <c r="E423" i="1"/>
  <c r="E413" i="1"/>
  <c r="E384" i="1"/>
  <c r="E353" i="1"/>
  <c r="G423" i="1"/>
  <c r="G413" i="1"/>
  <c r="G384" i="1"/>
  <c r="G353" i="1"/>
  <c r="I423" i="1"/>
  <c r="I413" i="1"/>
  <c r="I384" i="1"/>
  <c r="I353" i="1"/>
  <c r="E301" i="1"/>
  <c r="E291" i="1"/>
  <c r="E262" i="1"/>
  <c r="G301" i="1"/>
  <c r="G291" i="1"/>
  <c r="G262" i="1"/>
  <c r="I301" i="1"/>
  <c r="I291" i="1"/>
  <c r="I262" i="1"/>
  <c r="E168" i="1"/>
  <c r="E131" i="1"/>
  <c r="E116" i="1"/>
  <c r="G168" i="1"/>
  <c r="G131" i="1"/>
  <c r="G116" i="1"/>
  <c r="I168" i="1"/>
  <c r="I131" i="1"/>
  <c r="I116" i="1"/>
  <c r="D350" i="1" l="1"/>
  <c r="D92" i="1"/>
  <c r="D227" i="1"/>
  <c r="G80" i="1"/>
  <c r="I78" i="1"/>
  <c r="I76" i="1"/>
  <c r="H76" i="1"/>
  <c r="F76" i="1"/>
  <c r="D76" i="1"/>
  <c r="C76" i="1"/>
  <c r="B76" i="1"/>
  <c r="B77" i="1" l="1"/>
  <c r="E44" i="1" l="1"/>
  <c r="E45" i="1" s="1"/>
  <c r="F42" i="1"/>
  <c r="F41" i="1"/>
  <c r="K423" i="1"/>
  <c r="K413" i="1"/>
  <c r="K384" i="1"/>
  <c r="K353" i="1"/>
  <c r="K301" i="1"/>
  <c r="K291" i="1"/>
  <c r="K262" i="1"/>
  <c r="K168" i="1"/>
  <c r="K131" i="1"/>
  <c r="K116" i="1"/>
  <c r="C174" i="1"/>
  <c r="C203" i="1"/>
  <c r="C144" i="1"/>
  <c r="C397" i="1"/>
  <c r="C329" i="1"/>
  <c r="C275" i="1"/>
  <c r="C451" i="1"/>
  <c r="C422" i="1"/>
  <c r="C300" i="1"/>
  <c r="M412" i="1"/>
  <c r="M410" i="1"/>
  <c r="M290" i="1"/>
  <c r="M289" i="1"/>
  <c r="M287" i="1"/>
  <c r="Q362" i="1"/>
  <c r="O262" i="1"/>
  <c r="O259" i="1"/>
  <c r="O256" i="1"/>
  <c r="Q240" i="1"/>
  <c r="Q423" i="1"/>
  <c r="Q413" i="1"/>
  <c r="Q412" i="1"/>
  <c r="Q358" i="1" s="1"/>
  <c r="Q410" i="1"/>
  <c r="Q356" i="1" s="1"/>
  <c r="Q353" i="1"/>
  <c r="R352" i="1"/>
  <c r="O423" i="1"/>
  <c r="O413" i="1"/>
  <c r="O412" i="1"/>
  <c r="O358" i="1" s="1"/>
  <c r="O410" i="1"/>
  <c r="O356" i="1" s="1"/>
  <c r="O384" i="1"/>
  <c r="O353" i="1"/>
  <c r="Q301" i="1"/>
  <c r="Q291" i="1"/>
  <c r="Q290" i="1"/>
  <c r="Q236" i="1" s="1"/>
  <c r="Q289" i="1"/>
  <c r="Q235" i="1" s="1"/>
  <c r="Q287" i="1"/>
  <c r="Q233" i="1" s="1"/>
  <c r="O301" i="1"/>
  <c r="O291" i="1"/>
  <c r="O290" i="1"/>
  <c r="O236" i="1" s="1"/>
  <c r="O289" i="1"/>
  <c r="O235" i="1" s="1"/>
  <c r="O287" i="1"/>
  <c r="O233" i="1" s="1"/>
  <c r="Q168" i="1"/>
  <c r="Q131" i="1"/>
  <c r="Q116" i="1"/>
  <c r="Q108" i="1"/>
  <c r="O168" i="1"/>
  <c r="O131" i="1"/>
  <c r="O116" i="1"/>
  <c r="C416" i="1"/>
  <c r="I414" i="1" l="1"/>
  <c r="I290" i="1"/>
  <c r="I412" i="1"/>
  <c r="I358" i="1" s="1"/>
  <c r="E46" i="1"/>
  <c r="I410" i="1"/>
  <c r="I287" i="1"/>
  <c r="J456" i="1"/>
  <c r="J352" i="1"/>
  <c r="J283" i="1"/>
  <c r="J229" i="1"/>
  <c r="J208" i="1"/>
  <c r="J94" i="1"/>
  <c r="I292" i="1"/>
  <c r="I164" i="1"/>
  <c r="I289" i="1"/>
  <c r="G416" i="1"/>
  <c r="G362" i="1" s="1"/>
  <c r="E416" i="1"/>
  <c r="E362" i="1" s="1"/>
  <c r="I356" i="1"/>
  <c r="M416" i="1"/>
  <c r="M362" i="1" s="1"/>
  <c r="I416" i="1"/>
  <c r="I362" i="1" s="1"/>
  <c r="I235" i="1"/>
  <c r="I236" i="1"/>
  <c r="I233" i="1"/>
  <c r="L456" i="1"/>
  <c r="K289" i="1"/>
  <c r="K235" i="1" s="1"/>
  <c r="K412" i="1"/>
  <c r="K358" i="1" s="1"/>
  <c r="K290" i="1"/>
  <c r="K236" i="1" s="1"/>
  <c r="L1" i="1"/>
  <c r="L208" i="1"/>
  <c r="L352" i="1"/>
  <c r="K287" i="1"/>
  <c r="K233" i="1" s="1"/>
  <c r="K410" i="1"/>
  <c r="K356" i="1" s="1"/>
  <c r="L94" i="1"/>
  <c r="L283" i="1"/>
  <c r="K416" i="1"/>
  <c r="K362" i="1" s="1"/>
  <c r="O416" i="1"/>
  <c r="O362" i="1" s="1"/>
  <c r="G412" i="1" l="1"/>
  <c r="G358" i="1" s="1"/>
  <c r="G289" i="1"/>
  <c r="G235" i="1" s="1"/>
  <c r="H352" i="1" a="1"/>
  <c r="H352" i="1" s="1"/>
  <c r="E47" i="1"/>
  <c r="H1" i="1" a="1"/>
  <c r="H1" i="1" s="1"/>
  <c r="G292" i="1"/>
  <c r="G164" i="1"/>
  <c r="H208" i="1" a="1"/>
  <c r="H208" i="1" s="1"/>
  <c r="G287" i="1"/>
  <c r="G233" i="1" s="1"/>
  <c r="G414" i="1"/>
  <c r="G290" i="1"/>
  <c r="G236" i="1" s="1"/>
  <c r="H456" i="1" a="1"/>
  <c r="H456" i="1" s="1"/>
  <c r="H283" i="1" a="1"/>
  <c r="H283" i="1" s="1"/>
  <c r="H229" i="1" a="1"/>
  <c r="H229" i="1" s="1"/>
  <c r="H94" i="1" a="1"/>
  <c r="H94" i="1" s="1"/>
  <c r="G410" i="1"/>
  <c r="G356" i="1" s="1"/>
  <c r="J1" i="1"/>
  <c r="C167" i="1"/>
  <c r="E414" i="1" l="1"/>
  <c r="E290" i="1"/>
  <c r="E236" i="1" s="1"/>
  <c r="E412" i="1"/>
  <c r="E358" i="1" s="1"/>
  <c r="F352" i="1" a="1"/>
  <c r="F352" i="1" s="1"/>
  <c r="F208" i="1" a="1"/>
  <c r="F208" i="1" s="1"/>
  <c r="E410" i="1"/>
  <c r="E356" i="1" s="1"/>
  <c r="E287" i="1"/>
  <c r="E233" i="1" s="1"/>
  <c r="E289" i="1"/>
  <c r="E235" i="1" s="1"/>
  <c r="F229" i="1" a="1"/>
  <c r="F229" i="1" s="1"/>
  <c r="E292" i="1"/>
  <c r="E164" i="1"/>
  <c r="F1" i="1" a="1"/>
  <c r="F1" i="1" s="1"/>
  <c r="F456" i="1" a="1"/>
  <c r="F456" i="1" s="1"/>
  <c r="F283" i="1" a="1"/>
  <c r="F283" i="1" s="1"/>
  <c r="F94" i="1" a="1"/>
  <c r="F94" i="1" s="1"/>
  <c r="C294" i="1"/>
  <c r="E294" i="1" s="1"/>
  <c r="E240" i="1" s="1"/>
  <c r="I294" i="1" l="1"/>
  <c r="I240" i="1" s="1"/>
  <c r="G294" i="1"/>
  <c r="G240" i="1" s="1"/>
  <c r="K294" i="1"/>
  <c r="K240" i="1" s="1"/>
  <c r="M294" i="1"/>
  <c r="M240" i="1" s="1"/>
  <c r="O294" i="1"/>
  <c r="O240" i="1" s="1"/>
  <c r="C449" i="1"/>
  <c r="M423" i="1"/>
  <c r="C420" i="1"/>
  <c r="C415" i="1"/>
  <c r="C414" i="1"/>
  <c r="E360" i="1" s="1"/>
  <c r="M413" i="1"/>
  <c r="B406" i="1"/>
  <c r="D404" i="1"/>
  <c r="D400" i="1"/>
  <c r="D398" i="1"/>
  <c r="D397" i="1"/>
  <c r="B397" i="1"/>
  <c r="D396" i="1"/>
  <c r="C396" i="1"/>
  <c r="B396" i="1"/>
  <c r="D395" i="1"/>
  <c r="B395" i="1"/>
  <c r="D394" i="1"/>
  <c r="C394" i="1"/>
  <c r="B394" i="1"/>
  <c r="D393" i="1"/>
  <c r="C393" i="1"/>
  <c r="B393" i="1"/>
  <c r="D392" i="1"/>
  <c r="D390" i="1"/>
  <c r="D388" i="1"/>
  <c r="M384" i="1"/>
  <c r="D384" i="1"/>
  <c r="D383" i="1"/>
  <c r="D382" i="1"/>
  <c r="D377" i="1"/>
  <c r="D376" i="1"/>
  <c r="D374" i="1"/>
  <c r="D373" i="1"/>
  <c r="D372" i="1"/>
  <c r="D370" i="1"/>
  <c r="D369" i="1"/>
  <c r="D368" i="1"/>
  <c r="B368" i="1"/>
  <c r="D367" i="1"/>
  <c r="C367" i="1"/>
  <c r="B367" i="1"/>
  <c r="D366" i="1"/>
  <c r="B366" i="1"/>
  <c r="D365" i="1"/>
  <c r="C365" i="1"/>
  <c r="B365" i="1"/>
  <c r="D364" i="1"/>
  <c r="C364" i="1"/>
  <c r="B364" i="1"/>
  <c r="D363" i="1"/>
  <c r="C363" i="1"/>
  <c r="B363" i="1"/>
  <c r="D360" i="1"/>
  <c r="B360" i="1"/>
  <c r="D359" i="1"/>
  <c r="C359" i="1"/>
  <c r="B359" i="1"/>
  <c r="D358" i="1"/>
  <c r="C358" i="1"/>
  <c r="B358" i="1"/>
  <c r="D357" i="1"/>
  <c r="C357" i="1"/>
  <c r="B357" i="1"/>
  <c r="D356" i="1"/>
  <c r="C356" i="1"/>
  <c r="B356" i="1"/>
  <c r="D355" i="1"/>
  <c r="C355" i="1"/>
  <c r="B355" i="1"/>
  <c r="D354" i="1"/>
  <c r="C354" i="1"/>
  <c r="B354" i="1"/>
  <c r="M353" i="1"/>
  <c r="B349" i="1"/>
  <c r="D347" i="1"/>
  <c r="L336" i="1"/>
  <c r="K336" i="1"/>
  <c r="C327" i="1"/>
  <c r="M301" i="1"/>
  <c r="C298" i="1"/>
  <c r="C293" i="1"/>
  <c r="C292" i="1"/>
  <c r="E238" i="1" s="1"/>
  <c r="M291" i="1"/>
  <c r="B283" i="1"/>
  <c r="D282" i="1"/>
  <c r="D278" i="1"/>
  <c r="D276" i="1"/>
  <c r="D275" i="1"/>
  <c r="B275" i="1"/>
  <c r="D274" i="1"/>
  <c r="C274" i="1"/>
  <c r="B274" i="1"/>
  <c r="D273" i="1"/>
  <c r="B273" i="1"/>
  <c r="D272" i="1"/>
  <c r="C272" i="1"/>
  <c r="B272" i="1"/>
  <c r="D271" i="1"/>
  <c r="C271" i="1"/>
  <c r="B271" i="1"/>
  <c r="D270" i="1"/>
  <c r="D268" i="1"/>
  <c r="D266" i="1"/>
  <c r="D265" i="1"/>
  <c r="M262" i="1"/>
  <c r="D262" i="1"/>
  <c r="D255" i="1"/>
  <c r="D254" i="1"/>
  <c r="D250" i="1"/>
  <c r="D248" i="1"/>
  <c r="D247" i="1"/>
  <c r="D246" i="1"/>
  <c r="B246" i="1"/>
  <c r="D245" i="1"/>
  <c r="C245" i="1"/>
  <c r="B245" i="1"/>
  <c r="D244" i="1"/>
  <c r="B244" i="1"/>
  <c r="D243" i="1"/>
  <c r="C243" i="1"/>
  <c r="B243" i="1"/>
  <c r="D242" i="1"/>
  <c r="C242" i="1"/>
  <c r="B242" i="1"/>
  <c r="D241" i="1"/>
  <c r="B241" i="1"/>
  <c r="D238" i="1"/>
  <c r="B238" i="1"/>
  <c r="D237" i="1"/>
  <c r="C237" i="1"/>
  <c r="B237" i="1"/>
  <c r="D236" i="1"/>
  <c r="C236" i="1"/>
  <c r="B236" i="1"/>
  <c r="D235" i="1"/>
  <c r="C235" i="1"/>
  <c r="B235" i="1"/>
  <c r="D234" i="1"/>
  <c r="C234" i="1"/>
  <c r="B234" i="1"/>
  <c r="D233" i="1"/>
  <c r="C233" i="1"/>
  <c r="B233" i="1"/>
  <c r="D232" i="1"/>
  <c r="C232" i="1"/>
  <c r="B232" i="1"/>
  <c r="D231" i="1"/>
  <c r="C231" i="1"/>
  <c r="B231" i="1"/>
  <c r="D230" i="1"/>
  <c r="B226" i="1"/>
  <c r="D224" i="1"/>
  <c r="L210" i="1"/>
  <c r="K210" i="1"/>
  <c r="C201" i="1"/>
  <c r="C172" i="1"/>
  <c r="M168" i="1"/>
  <c r="C165" i="1"/>
  <c r="D147" i="1"/>
  <c r="D145" i="1"/>
  <c r="D144" i="1"/>
  <c r="B144" i="1"/>
  <c r="D143" i="1"/>
  <c r="C143" i="1"/>
  <c r="B143" i="1"/>
  <c r="D142" i="1"/>
  <c r="B142" i="1"/>
  <c r="D141" i="1"/>
  <c r="C141" i="1"/>
  <c r="B141" i="1"/>
  <c r="D140" i="1"/>
  <c r="C140" i="1"/>
  <c r="B140" i="1"/>
  <c r="D139" i="1"/>
  <c r="D137" i="1"/>
  <c r="D135" i="1"/>
  <c r="M131" i="1"/>
  <c r="D131" i="1"/>
  <c r="D130" i="1"/>
  <c r="D129" i="1"/>
  <c r="D125" i="1"/>
  <c r="D124" i="1"/>
  <c r="D123" i="1"/>
  <c r="D119" i="1"/>
  <c r="D117" i="1"/>
  <c r="M116" i="1"/>
  <c r="D116" i="1"/>
  <c r="D115" i="1"/>
  <c r="B115" i="1"/>
  <c r="D114" i="1"/>
  <c r="C114" i="1"/>
  <c r="B114" i="1"/>
  <c r="D113" i="1"/>
  <c r="B113" i="1"/>
  <c r="D112" i="1"/>
  <c r="C112" i="1"/>
  <c r="B112" i="1"/>
  <c r="D111" i="1"/>
  <c r="C111" i="1"/>
  <c r="B111" i="1"/>
  <c r="D110" i="1"/>
  <c r="D109" i="1"/>
  <c r="D105" i="1"/>
  <c r="B105" i="1"/>
  <c r="D104" i="1"/>
  <c r="B104" i="1"/>
  <c r="D103" i="1"/>
  <c r="B103" i="1"/>
  <c r="D102" i="1"/>
  <c r="B102" i="1"/>
  <c r="D101" i="1"/>
  <c r="B101" i="1"/>
  <c r="D100" i="1"/>
  <c r="B100" i="1"/>
  <c r="D99" i="1"/>
  <c r="B99" i="1"/>
  <c r="D98" i="1"/>
  <c r="B98" i="1"/>
  <c r="D97" i="1"/>
  <c r="B97" i="1"/>
  <c r="D96" i="1"/>
  <c r="B96" i="1"/>
  <c r="D95" i="1"/>
  <c r="B95" i="1"/>
  <c r="D90" i="1"/>
  <c r="L81" i="1"/>
  <c r="J81" i="1"/>
  <c r="F79" i="1"/>
  <c r="K81" i="1"/>
  <c r="G87" i="1"/>
  <c r="M65" i="1"/>
  <c r="N65" i="1" s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354" i="1" l="1"/>
  <c r="E415" i="1"/>
  <c r="E361" i="1" s="1"/>
  <c r="I360" i="1"/>
  <c r="G360" i="1"/>
  <c r="I354" i="1"/>
  <c r="G415" i="1"/>
  <c r="G361" i="1" s="1"/>
  <c r="I415" i="1"/>
  <c r="I361" i="1" s="1"/>
  <c r="E231" i="1"/>
  <c r="E293" i="1"/>
  <c r="E239" i="1" s="1"/>
  <c r="I238" i="1"/>
  <c r="G238" i="1"/>
  <c r="G293" i="1"/>
  <c r="G239" i="1" s="1"/>
  <c r="E165" i="1"/>
  <c r="E106" i="1" s="1"/>
  <c r="I231" i="1"/>
  <c r="I293" i="1"/>
  <c r="I239" i="1" s="1"/>
  <c r="E167" i="1"/>
  <c r="E108" i="1" s="1"/>
  <c r="E97" i="1"/>
  <c r="E107" i="1"/>
  <c r="E96" i="1"/>
  <c r="E98" i="1"/>
  <c r="E99" i="1"/>
  <c r="E105" i="1"/>
  <c r="E102" i="1"/>
  <c r="G167" i="1"/>
  <c r="G108" i="1" s="1"/>
  <c r="G99" i="1"/>
  <c r="G98" i="1"/>
  <c r="G107" i="1"/>
  <c r="G96" i="1"/>
  <c r="G97" i="1"/>
  <c r="G102" i="1"/>
  <c r="G105" i="1"/>
  <c r="I165" i="1"/>
  <c r="I106" i="1" s="1"/>
  <c r="G165" i="1"/>
  <c r="G106" i="1" s="1"/>
  <c r="I167" i="1"/>
  <c r="I108" i="1" s="1"/>
  <c r="I99" i="1"/>
  <c r="I107" i="1"/>
  <c r="I98" i="1"/>
  <c r="I96" i="1"/>
  <c r="I97" i="1"/>
  <c r="I105" i="1"/>
  <c r="I102" i="1"/>
  <c r="O167" i="1"/>
  <c r="O108" i="1" s="1"/>
  <c r="M167" i="1"/>
  <c r="M108" i="1" s="1"/>
  <c r="K167" i="1"/>
  <c r="K108" i="1" s="1"/>
  <c r="M166" i="1"/>
  <c r="M107" i="1" s="1"/>
  <c r="K166" i="1"/>
  <c r="K107" i="1" s="1"/>
  <c r="O166" i="1"/>
  <c r="O107" i="1" s="1"/>
  <c r="K157" i="1"/>
  <c r="K98" i="1" s="1"/>
  <c r="Q166" i="1"/>
  <c r="Q107" i="1" s="1"/>
  <c r="K161" i="1"/>
  <c r="K102" i="1" s="1"/>
  <c r="K164" i="1"/>
  <c r="K105" i="1" s="1"/>
  <c r="K292" i="1"/>
  <c r="K238" i="1" s="1"/>
  <c r="K155" i="1"/>
  <c r="K96" i="1" s="1"/>
  <c r="K285" i="1"/>
  <c r="K158" i="1"/>
  <c r="K99" i="1" s="1"/>
  <c r="K408" i="1"/>
  <c r="K156" i="1"/>
  <c r="K97" i="1" s="1"/>
  <c r="K414" i="1"/>
  <c r="K360" i="1" s="1"/>
  <c r="K415" i="1"/>
  <c r="K361" i="1" s="1"/>
  <c r="K165" i="1"/>
  <c r="K106" i="1" s="1"/>
  <c r="M155" i="1"/>
  <c r="M96" i="1" s="1"/>
  <c r="M285" i="1"/>
  <c r="K293" i="1"/>
  <c r="K239" i="1" s="1"/>
  <c r="M414" i="1"/>
  <c r="M360" i="1" s="1"/>
  <c r="M408" i="1"/>
  <c r="M292" i="1"/>
  <c r="M238" i="1" s="1"/>
  <c r="M158" i="1"/>
  <c r="M99" i="1" s="1"/>
  <c r="M157" i="1"/>
  <c r="M98" i="1" s="1"/>
  <c r="M156" i="1"/>
  <c r="M97" i="1" s="1"/>
  <c r="M161" i="1"/>
  <c r="M102" i="1" s="1"/>
  <c r="M164" i="1"/>
  <c r="M105" i="1" s="1"/>
  <c r="Q156" i="1"/>
  <c r="Q97" i="1" s="1"/>
  <c r="O156" i="1"/>
  <c r="O97" i="1" s="1"/>
  <c r="Q155" i="1"/>
  <c r="Q96" i="1" s="1"/>
  <c r="O155" i="1"/>
  <c r="O96" i="1" s="1"/>
  <c r="O414" i="1"/>
  <c r="O360" i="1" s="1"/>
  <c r="Q414" i="1"/>
  <c r="Q360" i="1" s="1"/>
  <c r="Q161" i="1"/>
  <c r="Q102" i="1" s="1"/>
  <c r="O161" i="1"/>
  <c r="O102" i="1" s="1"/>
  <c r="Q164" i="1"/>
  <c r="Q105" i="1" s="1"/>
  <c r="O164" i="1"/>
  <c r="O105" i="1" s="1"/>
  <c r="Q293" i="1"/>
  <c r="Q239" i="1" s="1"/>
  <c r="O293" i="1"/>
  <c r="O239" i="1" s="1"/>
  <c r="Q165" i="1"/>
  <c r="Q106" i="1" s="1"/>
  <c r="O165" i="1"/>
  <c r="O106" i="1" s="1"/>
  <c r="Q408" i="1"/>
  <c r="O408" i="1"/>
  <c r="O415" i="1"/>
  <c r="O361" i="1" s="1"/>
  <c r="Q415" i="1"/>
  <c r="Q361" i="1" s="1"/>
  <c r="O285" i="1"/>
  <c r="Q285" i="1"/>
  <c r="Q158" i="1"/>
  <c r="Q99" i="1" s="1"/>
  <c r="O158" i="1"/>
  <c r="O99" i="1" s="1"/>
  <c r="Q157" i="1"/>
  <c r="Q98" i="1" s="1"/>
  <c r="O157" i="1"/>
  <c r="O98" i="1" s="1"/>
  <c r="Q292" i="1"/>
  <c r="Q238" i="1" s="1"/>
  <c r="O292" i="1"/>
  <c r="O238" i="1" s="1"/>
  <c r="L57" i="1"/>
  <c r="M61" i="1"/>
  <c r="N61" i="1" s="1"/>
  <c r="O61" i="1" s="1"/>
  <c r="P61" i="1" s="1"/>
  <c r="Q61" i="1" s="1"/>
  <c r="M62" i="1"/>
  <c r="N62" i="1" s="1"/>
  <c r="O62" i="1" s="1"/>
  <c r="P62" i="1" s="1"/>
  <c r="Q62" i="1" s="1"/>
  <c r="M54" i="1"/>
  <c r="N54" i="1" s="1"/>
  <c r="O54" i="1" s="1"/>
  <c r="P54" i="1" s="1"/>
  <c r="Q54" i="1" s="1"/>
  <c r="L59" i="1"/>
  <c r="L64" i="1"/>
  <c r="M57" i="1"/>
  <c r="N57" i="1" s="1"/>
  <c r="O57" i="1" s="1"/>
  <c r="P57" i="1" s="1"/>
  <c r="Q57" i="1" s="1"/>
  <c r="L55" i="1"/>
  <c r="L60" i="1"/>
  <c r="M64" i="1"/>
  <c r="N64" i="1" s="1"/>
  <c r="O64" i="1" s="1"/>
  <c r="P64" i="1" s="1"/>
  <c r="Q64" i="1" s="1"/>
  <c r="C64" i="1" s="1"/>
  <c r="D349" i="1"/>
  <c r="L56" i="1"/>
  <c r="M58" i="1"/>
  <c r="N58" i="1" s="1"/>
  <c r="O58" i="1" s="1"/>
  <c r="P58" i="1" s="1"/>
  <c r="Q58" i="1" s="1"/>
  <c r="M60" i="1"/>
  <c r="N60" i="1" s="1"/>
  <c r="O60" i="1" s="1"/>
  <c r="P60" i="1" s="1"/>
  <c r="Q60" i="1" s="1"/>
  <c r="L65" i="1"/>
  <c r="M56" i="1"/>
  <c r="N56" i="1" s="1"/>
  <c r="O56" i="1" s="1"/>
  <c r="P56" i="1" s="1"/>
  <c r="Q56" i="1" s="1"/>
  <c r="C56" i="1" s="1"/>
  <c r="L61" i="1"/>
  <c r="L63" i="1"/>
  <c r="M236" i="1"/>
  <c r="M358" i="1"/>
  <c r="M356" i="1"/>
  <c r="M235" i="1"/>
  <c r="M233" i="1"/>
  <c r="D226" i="1"/>
  <c r="M293" i="1"/>
  <c r="M239" i="1" s="1"/>
  <c r="D87" i="1"/>
  <c r="O65" i="1"/>
  <c r="P65" i="1" s="1"/>
  <c r="Q65" i="1" s="1"/>
  <c r="C65" i="1" s="1"/>
  <c r="M63" i="1"/>
  <c r="N63" i="1" s="1"/>
  <c r="O63" i="1" s="1"/>
  <c r="P63" i="1" s="1"/>
  <c r="Q63" i="1" s="1"/>
  <c r="L62" i="1"/>
  <c r="M59" i="1"/>
  <c r="N59" i="1" s="1"/>
  <c r="O59" i="1" s="1"/>
  <c r="P59" i="1" s="1"/>
  <c r="Q59" i="1" s="1"/>
  <c r="L58" i="1"/>
  <c r="M55" i="1"/>
  <c r="N55" i="1" s="1"/>
  <c r="O55" i="1" s="1"/>
  <c r="P55" i="1" s="1"/>
  <c r="Q55" i="1" s="1"/>
  <c r="C55" i="1" s="1"/>
  <c r="L54" i="1"/>
  <c r="M415" i="1"/>
  <c r="M361" i="1" s="1"/>
  <c r="M165" i="1"/>
  <c r="M106" i="1" s="1"/>
  <c r="E409" i="1" l="1"/>
  <c r="E355" i="1" s="1"/>
  <c r="G354" i="1"/>
  <c r="G409" i="1"/>
  <c r="G355" i="1" s="1"/>
  <c r="I409" i="1"/>
  <c r="I355" i="1" s="1"/>
  <c r="E286" i="1"/>
  <c r="G286" i="1"/>
  <c r="G232" i="1" s="1"/>
  <c r="G231" i="1"/>
  <c r="I286" i="1"/>
  <c r="E159" i="1"/>
  <c r="E100" i="1" s="1"/>
  <c r="E95" i="1"/>
  <c r="E160" i="1"/>
  <c r="E101" i="1" s="1"/>
  <c r="I159" i="1"/>
  <c r="I100" i="1" s="1"/>
  <c r="C58" i="1"/>
  <c r="C63" i="1"/>
  <c r="C54" i="1"/>
  <c r="C57" i="1"/>
  <c r="C62" i="1"/>
  <c r="C59" i="1"/>
  <c r="C60" i="1"/>
  <c r="C61" i="1"/>
  <c r="K154" i="1"/>
  <c r="K286" i="1"/>
  <c r="K232" i="1" s="1"/>
  <c r="K231" i="1"/>
  <c r="M154" i="1"/>
  <c r="K354" i="1"/>
  <c r="K409" i="1"/>
  <c r="K355" i="1" s="1"/>
  <c r="O286" i="1"/>
  <c r="O232" i="1" s="1"/>
  <c r="O231" i="1"/>
  <c r="Q354" i="1"/>
  <c r="Q409" i="1"/>
  <c r="Q355" i="1" s="1"/>
  <c r="Q154" i="1"/>
  <c r="O154" i="1"/>
  <c r="Q286" i="1"/>
  <c r="Q232" i="1" s="1"/>
  <c r="Q231" i="1"/>
  <c r="O409" i="1"/>
  <c r="O355" i="1" s="1"/>
  <c r="O354" i="1"/>
  <c r="D41" i="1"/>
  <c r="M286" i="1"/>
  <c r="M232" i="1" s="1"/>
  <c r="M231" i="1"/>
  <c r="M409" i="1"/>
  <c r="M355" i="1" s="1"/>
  <c r="M354" i="1"/>
  <c r="E162" i="1" l="1"/>
  <c r="I162" i="1"/>
  <c r="G162" i="1"/>
  <c r="G103" i="1" s="1"/>
  <c r="E411" i="1"/>
  <c r="E357" i="1" s="1"/>
  <c r="G411" i="1"/>
  <c r="G357" i="1" s="1"/>
  <c r="I411" i="1"/>
  <c r="I357" i="1" s="1"/>
  <c r="I95" i="1"/>
  <c r="E232" i="1"/>
  <c r="E288" i="1"/>
  <c r="E234" i="1" s="1"/>
  <c r="I160" i="1"/>
  <c r="I101" i="1" s="1"/>
  <c r="G288" i="1"/>
  <c r="I232" i="1"/>
  <c r="I288" i="1"/>
  <c r="I234" i="1" s="1"/>
  <c r="G95" i="1"/>
  <c r="G160" i="1"/>
  <c r="G101" i="1" s="1"/>
  <c r="G159" i="1"/>
  <c r="G100" i="1" s="1"/>
  <c r="K162" i="1"/>
  <c r="K103" i="1" s="1"/>
  <c r="I103" i="1"/>
  <c r="K159" i="1"/>
  <c r="M159" i="1"/>
  <c r="M100" i="1" s="1"/>
  <c r="O159" i="1"/>
  <c r="Q159" i="1"/>
  <c r="Q100" i="1" s="1"/>
  <c r="K288" i="1"/>
  <c r="K234" i="1" s="1"/>
  <c r="M162" i="1"/>
  <c r="M103" i="1" s="1"/>
  <c r="K160" i="1"/>
  <c r="K101" i="1" s="1"/>
  <c r="K95" i="1"/>
  <c r="K411" i="1"/>
  <c r="K357" i="1" s="1"/>
  <c r="O288" i="1"/>
  <c r="O234" i="1" s="1"/>
  <c r="O411" i="1"/>
  <c r="O357" i="1" s="1"/>
  <c r="Q288" i="1"/>
  <c r="Q234" i="1" s="1"/>
  <c r="O160" i="1"/>
  <c r="O101" i="1" s="1"/>
  <c r="O95" i="1"/>
  <c r="Q162" i="1"/>
  <c r="Q103" i="1" s="1"/>
  <c r="O162" i="1"/>
  <c r="O103" i="1" s="1"/>
  <c r="Q160" i="1"/>
  <c r="Q101" i="1" s="1"/>
  <c r="Q95" i="1"/>
  <c r="Q411" i="1"/>
  <c r="M288" i="1"/>
  <c r="M295" i="1" s="1"/>
  <c r="M160" i="1"/>
  <c r="M101" i="1" s="1"/>
  <c r="M95" i="1"/>
  <c r="M411" i="1"/>
  <c r="M417" i="1" s="1"/>
  <c r="E417" i="1" l="1"/>
  <c r="E444" i="1" s="1"/>
  <c r="G417" i="1"/>
  <c r="G444" i="1" s="1"/>
  <c r="E419" i="1"/>
  <c r="E365" i="1" s="1"/>
  <c r="E363" i="1"/>
  <c r="E418" i="1"/>
  <c r="E421" i="1"/>
  <c r="E367" i="1" s="1"/>
  <c r="I417" i="1"/>
  <c r="I363" i="1" s="1"/>
  <c r="E295" i="1"/>
  <c r="E297" i="1" s="1"/>
  <c r="E243" i="1" s="1"/>
  <c r="G234" i="1"/>
  <c r="G295" i="1"/>
  <c r="I295" i="1"/>
  <c r="I163" i="1"/>
  <c r="I104" i="1" s="1"/>
  <c r="E103" i="1"/>
  <c r="E163" i="1"/>
  <c r="E104" i="1" s="1"/>
  <c r="G163" i="1"/>
  <c r="G104" i="1" s="1"/>
  <c r="O163" i="1"/>
  <c r="O104" i="1" s="1"/>
  <c r="K163" i="1"/>
  <c r="K104" i="1" s="1"/>
  <c r="Q163" i="1"/>
  <c r="Q104" i="1" s="1"/>
  <c r="M163" i="1"/>
  <c r="O100" i="1"/>
  <c r="K100" i="1"/>
  <c r="K295" i="1"/>
  <c r="K305" i="1" s="1"/>
  <c r="K251" i="1" s="1"/>
  <c r="K417" i="1"/>
  <c r="M421" i="1"/>
  <c r="M427" i="1"/>
  <c r="M419" i="1"/>
  <c r="M422" i="1"/>
  <c r="M418" i="1"/>
  <c r="M420" i="1"/>
  <c r="M305" i="1"/>
  <c r="M299" i="1"/>
  <c r="M298" i="1"/>
  <c r="M297" i="1"/>
  <c r="M300" i="1"/>
  <c r="M296" i="1"/>
  <c r="Q295" i="1"/>
  <c r="O417" i="1"/>
  <c r="O295" i="1"/>
  <c r="Q357" i="1"/>
  <c r="Q417" i="1"/>
  <c r="M234" i="1"/>
  <c r="M357" i="1"/>
  <c r="G421" i="1" l="1"/>
  <c r="G367" i="1" s="1"/>
  <c r="E422" i="1"/>
  <c r="E368" i="1" s="1"/>
  <c r="E420" i="1"/>
  <c r="E366" i="1" s="1"/>
  <c r="E427" i="1"/>
  <c r="E373" i="1" s="1"/>
  <c r="E300" i="1"/>
  <c r="E246" i="1" s="1"/>
  <c r="E241" i="1"/>
  <c r="G418" i="1"/>
  <c r="G364" i="1" s="1"/>
  <c r="I419" i="1"/>
  <c r="I365" i="1" s="1"/>
  <c r="G363" i="1"/>
  <c r="I418" i="1"/>
  <c r="I364" i="1" s="1"/>
  <c r="G419" i="1"/>
  <c r="G365" i="1" s="1"/>
  <c r="I420" i="1"/>
  <c r="I366" i="1" s="1"/>
  <c r="I427" i="1"/>
  <c r="I373" i="1" s="1"/>
  <c r="I444" i="1"/>
  <c r="I449" i="1" s="1"/>
  <c r="I395" i="1" s="1"/>
  <c r="G422" i="1"/>
  <c r="G368" i="1" s="1"/>
  <c r="G420" i="1"/>
  <c r="G366" i="1" s="1"/>
  <c r="I422" i="1"/>
  <c r="I368" i="1" s="1"/>
  <c r="I421" i="1"/>
  <c r="I367" i="1" s="1"/>
  <c r="G427" i="1"/>
  <c r="G373" i="1" s="1"/>
  <c r="E424" i="1"/>
  <c r="E364" i="1"/>
  <c r="E299" i="1"/>
  <c r="E245" i="1" s="1"/>
  <c r="E296" i="1"/>
  <c r="E242" i="1" s="1"/>
  <c r="E450" i="1"/>
  <c r="E396" i="1" s="1"/>
  <c r="E449" i="1"/>
  <c r="E395" i="1" s="1"/>
  <c r="E447" i="1"/>
  <c r="E448" i="1"/>
  <c r="E394" i="1" s="1"/>
  <c r="E390" i="1"/>
  <c r="E451" i="1"/>
  <c r="E397" i="1" s="1"/>
  <c r="G450" i="1"/>
  <c r="G396" i="1" s="1"/>
  <c r="G449" i="1"/>
  <c r="G395" i="1" s="1"/>
  <c r="G448" i="1"/>
  <c r="G394" i="1" s="1"/>
  <c r="G390" i="1"/>
  <c r="G451" i="1"/>
  <c r="G397" i="1" s="1"/>
  <c r="G447" i="1"/>
  <c r="E298" i="1"/>
  <c r="E244" i="1" s="1"/>
  <c r="E305" i="1"/>
  <c r="E251" i="1" s="1"/>
  <c r="E322" i="1"/>
  <c r="E268" i="1" s="1"/>
  <c r="I451" i="1"/>
  <c r="I397" i="1" s="1"/>
  <c r="G297" i="1"/>
  <c r="G243" i="1" s="1"/>
  <c r="G305" i="1"/>
  <c r="G251" i="1" s="1"/>
  <c r="G300" i="1"/>
  <c r="G246" i="1" s="1"/>
  <c r="G296" i="1"/>
  <c r="G322" i="1"/>
  <c r="G298" i="1"/>
  <c r="G244" i="1" s="1"/>
  <c r="G299" i="1"/>
  <c r="G245" i="1" s="1"/>
  <c r="G241" i="1"/>
  <c r="I297" i="1"/>
  <c r="I243" i="1" s="1"/>
  <c r="I305" i="1"/>
  <c r="I251" i="1" s="1"/>
  <c r="I300" i="1"/>
  <c r="I246" i="1" s="1"/>
  <c r="I296" i="1"/>
  <c r="I322" i="1"/>
  <c r="I298" i="1"/>
  <c r="I244" i="1" s="1"/>
  <c r="I299" i="1"/>
  <c r="I245" i="1" s="1"/>
  <c r="I241" i="1"/>
  <c r="E169" i="1"/>
  <c r="I169" i="1"/>
  <c r="I171" i="1" s="1"/>
  <c r="I112" i="1" s="1"/>
  <c r="G169" i="1"/>
  <c r="K298" i="1"/>
  <c r="K244" i="1" s="1"/>
  <c r="K296" i="1"/>
  <c r="K242" i="1" s="1"/>
  <c r="K241" i="1"/>
  <c r="K297" i="1"/>
  <c r="K243" i="1" s="1"/>
  <c r="K299" i="1"/>
  <c r="K245" i="1" s="1"/>
  <c r="K300" i="1"/>
  <c r="K246" i="1" s="1"/>
  <c r="K322" i="1"/>
  <c r="K327" i="1" s="1"/>
  <c r="K273" i="1" s="1"/>
  <c r="K169" i="1"/>
  <c r="K171" i="1" s="1"/>
  <c r="K112" i="1" s="1"/>
  <c r="K419" i="1"/>
  <c r="K365" i="1" s="1"/>
  <c r="K363" i="1"/>
  <c r="K444" i="1"/>
  <c r="K427" i="1"/>
  <c r="K373" i="1" s="1"/>
  <c r="K422" i="1"/>
  <c r="K368" i="1" s="1"/>
  <c r="K418" i="1"/>
  <c r="K421" i="1"/>
  <c r="K367" i="1" s="1"/>
  <c r="K420" i="1"/>
  <c r="K366" i="1" s="1"/>
  <c r="O444" i="1"/>
  <c r="O447" i="1" s="1"/>
  <c r="O422" i="1"/>
  <c r="O368" i="1" s="1"/>
  <c r="O418" i="1"/>
  <c r="O420" i="1"/>
  <c r="O366" i="1" s="1"/>
  <c r="O419" i="1"/>
  <c r="O365" i="1" s="1"/>
  <c r="O427" i="1"/>
  <c r="O373" i="1" s="1"/>
  <c r="O421" i="1"/>
  <c r="O367" i="1" s="1"/>
  <c r="Q427" i="1"/>
  <c r="Q373" i="1" s="1"/>
  <c r="Q419" i="1"/>
  <c r="Q365" i="1" s="1"/>
  <c r="Q421" i="1"/>
  <c r="Q367" i="1" s="1"/>
  <c r="Q420" i="1"/>
  <c r="Q366" i="1" s="1"/>
  <c r="Q422" i="1"/>
  <c r="Q368" i="1" s="1"/>
  <c r="Q418" i="1"/>
  <c r="Q297" i="1"/>
  <c r="Q243" i="1" s="1"/>
  <c r="Q300" i="1"/>
  <c r="Q246" i="1" s="1"/>
  <c r="Q296" i="1"/>
  <c r="Q242" i="1" s="1"/>
  <c r="Q305" i="1"/>
  <c r="Q251" i="1" s="1"/>
  <c r="Q299" i="1"/>
  <c r="Q245" i="1" s="1"/>
  <c r="Q298" i="1"/>
  <c r="Q244" i="1" s="1"/>
  <c r="O300" i="1"/>
  <c r="O246" i="1" s="1"/>
  <c r="O296" i="1"/>
  <c r="O305" i="1"/>
  <c r="O251" i="1" s="1"/>
  <c r="O299" i="1"/>
  <c r="O245" i="1" s="1"/>
  <c r="O298" i="1"/>
  <c r="O244" i="1" s="1"/>
  <c r="O297" i="1"/>
  <c r="O243" i="1" s="1"/>
  <c r="O363" i="1"/>
  <c r="M104" i="1"/>
  <c r="O169" i="1"/>
  <c r="Q322" i="1"/>
  <c r="Q328" i="1" s="1"/>
  <c r="Q274" i="1" s="1"/>
  <c r="Q241" i="1"/>
  <c r="O322" i="1"/>
  <c r="O241" i="1"/>
  <c r="Q169" i="1"/>
  <c r="Q444" i="1"/>
  <c r="Q363" i="1"/>
  <c r="M169" i="1"/>
  <c r="M170" i="1" s="1"/>
  <c r="M367" i="1"/>
  <c r="M366" i="1"/>
  <c r="M373" i="1"/>
  <c r="M363" i="1"/>
  <c r="M368" i="1"/>
  <c r="M365" i="1"/>
  <c r="M444" i="1"/>
  <c r="M245" i="1"/>
  <c r="M246" i="1"/>
  <c r="M243" i="1"/>
  <c r="M241" i="1"/>
  <c r="M251" i="1"/>
  <c r="M322" i="1"/>
  <c r="M244" i="1"/>
  <c r="I390" i="1" l="1"/>
  <c r="I447" i="1"/>
  <c r="I393" i="1" s="1"/>
  <c r="I450" i="1"/>
  <c r="I396" i="1" s="1"/>
  <c r="I448" i="1"/>
  <c r="I394" i="1" s="1"/>
  <c r="G424" i="1"/>
  <c r="I424" i="1"/>
  <c r="I370" i="1" s="1"/>
  <c r="E302" i="1"/>
  <c r="E304" i="1" s="1"/>
  <c r="E326" i="1"/>
  <c r="E272" i="1" s="1"/>
  <c r="E328" i="1"/>
  <c r="E274" i="1" s="1"/>
  <c r="E327" i="1"/>
  <c r="E273" i="1" s="1"/>
  <c r="E393" i="1"/>
  <c r="E452" i="1"/>
  <c r="E325" i="1"/>
  <c r="E271" i="1" s="1"/>
  <c r="E329" i="1"/>
  <c r="E275" i="1" s="1"/>
  <c r="E370" i="1"/>
  <c r="E426" i="1"/>
  <c r="G370" i="1"/>
  <c r="G426" i="1"/>
  <c r="I173" i="1"/>
  <c r="I114" i="1" s="1"/>
  <c r="G393" i="1"/>
  <c r="G452" i="1"/>
  <c r="G242" i="1"/>
  <c r="G302" i="1"/>
  <c r="I170" i="1"/>
  <c r="I174" i="1"/>
  <c r="I115" i="1" s="1"/>
  <c r="G327" i="1"/>
  <c r="G273" i="1" s="1"/>
  <c r="G326" i="1"/>
  <c r="G272" i="1" s="1"/>
  <c r="G329" i="1"/>
  <c r="G275" i="1" s="1"/>
  <c r="G325" i="1"/>
  <c r="G328" i="1"/>
  <c r="G274" i="1" s="1"/>
  <c r="G268" i="1"/>
  <c r="I242" i="1"/>
  <c r="I302" i="1"/>
  <c r="I179" i="1"/>
  <c r="I120" i="1" s="1"/>
  <c r="I110" i="1"/>
  <c r="I172" i="1"/>
  <c r="I113" i="1" s="1"/>
  <c r="I196" i="1"/>
  <c r="I201" i="1" s="1"/>
  <c r="I142" i="1" s="1"/>
  <c r="I327" i="1"/>
  <c r="I273" i="1" s="1"/>
  <c r="I268" i="1"/>
  <c r="I326" i="1"/>
  <c r="I272" i="1" s="1"/>
  <c r="I329" i="1"/>
  <c r="I275" i="1" s="1"/>
  <c r="I325" i="1"/>
  <c r="I328" i="1"/>
  <c r="I274" i="1" s="1"/>
  <c r="E196" i="1"/>
  <c r="E171" i="1"/>
  <c r="E112" i="1" s="1"/>
  <c r="E172" i="1"/>
  <c r="E113" i="1" s="1"/>
  <c r="E110" i="1"/>
  <c r="E174" i="1"/>
  <c r="E115" i="1" s="1"/>
  <c r="E170" i="1"/>
  <c r="E179" i="1"/>
  <c r="E120" i="1" s="1"/>
  <c r="E173" i="1"/>
  <c r="E114" i="1" s="1"/>
  <c r="G196" i="1"/>
  <c r="G171" i="1"/>
  <c r="G112" i="1" s="1"/>
  <c r="G174" i="1"/>
  <c r="G115" i="1" s="1"/>
  <c r="G170" i="1"/>
  <c r="G179" i="1"/>
  <c r="G120" i="1" s="1"/>
  <c r="G173" i="1"/>
  <c r="G114" i="1" s="1"/>
  <c r="G172" i="1"/>
  <c r="G113" i="1" s="1"/>
  <c r="G110" i="1"/>
  <c r="I111" i="1"/>
  <c r="I202" i="1"/>
  <c r="I143" i="1" s="1"/>
  <c r="K302" i="1"/>
  <c r="K304" i="1" s="1"/>
  <c r="K328" i="1"/>
  <c r="K274" i="1" s="1"/>
  <c r="K325" i="1"/>
  <c r="K271" i="1" s="1"/>
  <c r="K329" i="1"/>
  <c r="K275" i="1" s="1"/>
  <c r="K326" i="1"/>
  <c r="K272" i="1" s="1"/>
  <c r="K268" i="1"/>
  <c r="K170" i="1"/>
  <c r="K111" i="1" s="1"/>
  <c r="K173" i="1"/>
  <c r="K114" i="1" s="1"/>
  <c r="K174" i="1"/>
  <c r="K115" i="1" s="1"/>
  <c r="K196" i="1"/>
  <c r="K137" i="1" s="1"/>
  <c r="K179" i="1"/>
  <c r="K120" i="1" s="1"/>
  <c r="K172" i="1"/>
  <c r="K113" i="1" s="1"/>
  <c r="K110" i="1"/>
  <c r="O450" i="1"/>
  <c r="O396" i="1" s="1"/>
  <c r="O448" i="1"/>
  <c r="O394" i="1" s="1"/>
  <c r="K449" i="1"/>
  <c r="K395" i="1" s="1"/>
  <c r="K448" i="1"/>
  <c r="K394" i="1" s="1"/>
  <c r="K390" i="1"/>
  <c r="K451" i="1"/>
  <c r="K397" i="1" s="1"/>
  <c r="K447" i="1"/>
  <c r="K450" i="1"/>
  <c r="K396" i="1" s="1"/>
  <c r="K424" i="1"/>
  <c r="K364" i="1"/>
  <c r="O449" i="1"/>
  <c r="O395" i="1" s="1"/>
  <c r="O390" i="1"/>
  <c r="O451" i="1"/>
  <c r="O397" i="1" s="1"/>
  <c r="Q268" i="1"/>
  <c r="Q327" i="1"/>
  <c r="Q273" i="1" s="1"/>
  <c r="Q174" i="1"/>
  <c r="Q115" i="1" s="1"/>
  <c r="Q171" i="1"/>
  <c r="Q112" i="1" s="1"/>
  <c r="Q172" i="1"/>
  <c r="Q113" i="1" s="1"/>
  <c r="Q173" i="1"/>
  <c r="Q114" i="1" s="1"/>
  <c r="Q179" i="1"/>
  <c r="Q120" i="1" s="1"/>
  <c r="Q170" i="1"/>
  <c r="M196" i="1"/>
  <c r="M203" i="1" s="1"/>
  <c r="M144" i="1" s="1"/>
  <c r="M179" i="1"/>
  <c r="M120" i="1" s="1"/>
  <c r="M172" i="1"/>
  <c r="M113" i="1" s="1"/>
  <c r="M174" i="1"/>
  <c r="M115" i="1" s="1"/>
  <c r="M173" i="1"/>
  <c r="M114" i="1" s="1"/>
  <c r="M171" i="1"/>
  <c r="M112" i="1" s="1"/>
  <c r="M111" i="1"/>
  <c r="O173" i="1"/>
  <c r="O114" i="1" s="1"/>
  <c r="O170" i="1"/>
  <c r="O111" i="1" s="1"/>
  <c r="O179" i="1"/>
  <c r="O120" i="1" s="1"/>
  <c r="O172" i="1"/>
  <c r="O113" i="1" s="1"/>
  <c r="O171" i="1"/>
  <c r="O112" i="1" s="1"/>
  <c r="O174" i="1"/>
  <c r="O115" i="1" s="1"/>
  <c r="Q329" i="1"/>
  <c r="Q275" i="1" s="1"/>
  <c r="O424" i="1"/>
  <c r="O370" i="1" s="1"/>
  <c r="O110" i="1"/>
  <c r="Q326" i="1"/>
  <c r="Q272" i="1" s="1"/>
  <c r="Q325" i="1"/>
  <c r="O364" i="1"/>
  <c r="O196" i="1"/>
  <c r="O201" i="1" s="1"/>
  <c r="O142" i="1" s="1"/>
  <c r="Q302" i="1"/>
  <c r="Q248" i="1" s="1"/>
  <c r="O242" i="1"/>
  <c r="O302" i="1"/>
  <c r="O328" i="1"/>
  <c r="O274" i="1" s="1"/>
  <c r="O325" i="1"/>
  <c r="O326" i="1"/>
  <c r="O272" i="1" s="1"/>
  <c r="O329" i="1"/>
  <c r="O275" i="1" s="1"/>
  <c r="O327" i="1"/>
  <c r="O273" i="1" s="1"/>
  <c r="O268" i="1"/>
  <c r="Q449" i="1"/>
  <c r="Q395" i="1" s="1"/>
  <c r="Q447" i="1"/>
  <c r="Q390" i="1"/>
  <c r="Q451" i="1"/>
  <c r="Q397" i="1" s="1"/>
  <c r="Q450" i="1"/>
  <c r="Q396" i="1" s="1"/>
  <c r="Q448" i="1"/>
  <c r="Q394" i="1" s="1"/>
  <c r="O393" i="1"/>
  <c r="Q196" i="1"/>
  <c r="Q203" i="1" s="1"/>
  <c r="Q144" i="1" s="1"/>
  <c r="Q110" i="1"/>
  <c r="Q424" i="1"/>
  <c r="Q364" i="1"/>
  <c r="M110" i="1"/>
  <c r="M447" i="1"/>
  <c r="M450" i="1"/>
  <c r="M396" i="1" s="1"/>
  <c r="M451" i="1"/>
  <c r="M397" i="1" s="1"/>
  <c r="M448" i="1"/>
  <c r="M394" i="1" s="1"/>
  <c r="M449" i="1"/>
  <c r="M395" i="1" s="1"/>
  <c r="M390" i="1"/>
  <c r="M424" i="1"/>
  <c r="M364" i="1"/>
  <c r="M302" i="1"/>
  <c r="M242" i="1"/>
  <c r="M325" i="1"/>
  <c r="M327" i="1"/>
  <c r="M273" i="1" s="1"/>
  <c r="M326" i="1"/>
  <c r="M272" i="1" s="1"/>
  <c r="M268" i="1"/>
  <c r="M328" i="1"/>
  <c r="M274" i="1" s="1"/>
  <c r="M329" i="1"/>
  <c r="M275" i="1" s="1"/>
  <c r="I452" i="1" l="1"/>
  <c r="E248" i="1"/>
  <c r="E330" i="1"/>
  <c r="E332" i="1" s="1"/>
  <c r="E278" i="1" s="1"/>
  <c r="I426" i="1"/>
  <c r="G430" i="1" s="1"/>
  <c r="E430" i="1"/>
  <c r="E428" i="1"/>
  <c r="E402" i="1"/>
  <c r="E372" i="1"/>
  <c r="E398" i="1"/>
  <c r="E454" i="1"/>
  <c r="E400" i="1" s="1"/>
  <c r="G398" i="1"/>
  <c r="G454" i="1"/>
  <c r="G400" i="1" s="1"/>
  <c r="I203" i="1"/>
  <c r="I144" i="1" s="1"/>
  <c r="G428" i="1"/>
  <c r="G402" i="1"/>
  <c r="G372" i="1"/>
  <c r="G347" i="1" s="1"/>
  <c r="I200" i="1"/>
  <c r="I141" i="1" s="1"/>
  <c r="I199" i="1"/>
  <c r="I140" i="1" s="1"/>
  <c r="I398" i="1"/>
  <c r="I454" i="1"/>
  <c r="I400" i="1" s="1"/>
  <c r="I137" i="1"/>
  <c r="E306" i="1"/>
  <c r="E250" i="1"/>
  <c r="E280" i="1"/>
  <c r="I176" i="1"/>
  <c r="I117" i="1" s="1"/>
  <c r="G248" i="1"/>
  <c r="G304" i="1"/>
  <c r="E308" i="1" s="1"/>
  <c r="G330" i="1"/>
  <c r="G271" i="1"/>
  <c r="I248" i="1"/>
  <c r="I304" i="1"/>
  <c r="I330" i="1"/>
  <c r="I271" i="1"/>
  <c r="E176" i="1"/>
  <c r="E111" i="1"/>
  <c r="E202" i="1"/>
  <c r="E143" i="1" s="1"/>
  <c r="E199" i="1"/>
  <c r="E201" i="1"/>
  <c r="E142" i="1" s="1"/>
  <c r="E137" i="1"/>
  <c r="E200" i="1"/>
  <c r="E141" i="1" s="1"/>
  <c r="E203" i="1"/>
  <c r="E144" i="1" s="1"/>
  <c r="G176" i="1"/>
  <c r="G111" i="1"/>
  <c r="G202" i="1"/>
  <c r="G143" i="1" s="1"/>
  <c r="G201" i="1"/>
  <c r="G142" i="1" s="1"/>
  <c r="G200" i="1"/>
  <c r="G141" i="1" s="1"/>
  <c r="G203" i="1"/>
  <c r="G144" i="1" s="1"/>
  <c r="G199" i="1"/>
  <c r="G137" i="1"/>
  <c r="K248" i="1"/>
  <c r="K330" i="1"/>
  <c r="K332" i="1" s="1"/>
  <c r="K278" i="1" s="1"/>
  <c r="K201" i="1"/>
  <c r="K142" i="1" s="1"/>
  <c r="K176" i="1"/>
  <c r="K178" i="1" s="1"/>
  <c r="K199" i="1"/>
  <c r="K140" i="1" s="1"/>
  <c r="K200" i="1"/>
  <c r="K141" i="1" s="1"/>
  <c r="K202" i="1"/>
  <c r="K143" i="1" s="1"/>
  <c r="K203" i="1"/>
  <c r="K144" i="1" s="1"/>
  <c r="M202" i="1"/>
  <c r="M143" i="1" s="1"/>
  <c r="K276" i="1"/>
  <c r="K393" i="1"/>
  <c r="K452" i="1"/>
  <c r="K306" i="1"/>
  <c r="K280" i="1"/>
  <c r="K250" i="1"/>
  <c r="K227" i="1" s="1"/>
  <c r="K370" i="1"/>
  <c r="K426" i="1"/>
  <c r="M200" i="1"/>
  <c r="M141" i="1" s="1"/>
  <c r="M201" i="1"/>
  <c r="M142" i="1" s="1"/>
  <c r="O137" i="1"/>
  <c r="M137" i="1"/>
  <c r="O452" i="1"/>
  <c r="O454" i="1" s="1"/>
  <c r="O400" i="1" s="1"/>
  <c r="O203" i="1"/>
  <c r="O144" i="1" s="1"/>
  <c r="M199" i="1"/>
  <c r="M140" i="1" s="1"/>
  <c r="O426" i="1"/>
  <c r="O402" i="1" s="1"/>
  <c r="Q304" i="1"/>
  <c r="E314" i="1" s="1"/>
  <c r="Q330" i="1"/>
  <c r="Q276" i="1" s="1"/>
  <c r="Q271" i="1"/>
  <c r="O199" i="1"/>
  <c r="O140" i="1" s="1"/>
  <c r="O176" i="1"/>
  <c r="O117" i="1" s="1"/>
  <c r="O200" i="1"/>
  <c r="O141" i="1" s="1"/>
  <c r="O202" i="1"/>
  <c r="O143" i="1" s="1"/>
  <c r="O330" i="1"/>
  <c r="O271" i="1"/>
  <c r="O304" i="1"/>
  <c r="O248" i="1"/>
  <c r="Q137" i="1"/>
  <c r="Q199" i="1"/>
  <c r="Q202" i="1"/>
  <c r="Q143" i="1" s="1"/>
  <c r="Q200" i="1"/>
  <c r="Q141" i="1" s="1"/>
  <c r="Q201" i="1"/>
  <c r="Q142" i="1" s="1"/>
  <c r="O398" i="1"/>
  <c r="Q176" i="1"/>
  <c r="Q111" i="1"/>
  <c r="Q370" i="1"/>
  <c r="Q426" i="1"/>
  <c r="Q452" i="1"/>
  <c r="Q393" i="1"/>
  <c r="M176" i="1"/>
  <c r="M117" i="1" s="1"/>
  <c r="M452" i="1"/>
  <c r="M393" i="1"/>
  <c r="M330" i="1"/>
  <c r="M271" i="1"/>
  <c r="M370" i="1"/>
  <c r="M426" i="1"/>
  <c r="M248" i="1"/>
  <c r="M304" i="1"/>
  <c r="K308" i="1" s="1"/>
  <c r="I430" i="1" l="1"/>
  <c r="E276" i="1"/>
  <c r="I436" i="1"/>
  <c r="I428" i="1"/>
  <c r="I374" i="1" s="1"/>
  <c r="I348" i="1" s="1"/>
  <c r="J342" i="1"/>
  <c r="I372" i="1"/>
  <c r="I347" i="1" s="1"/>
  <c r="J341" i="1" s="1"/>
  <c r="I178" i="1"/>
  <c r="I151" i="1" s="1"/>
  <c r="I402" i="1"/>
  <c r="E374" i="1"/>
  <c r="E348" i="1" s="1"/>
  <c r="E403" i="1"/>
  <c r="E433" i="1"/>
  <c r="E431" i="1"/>
  <c r="E377" i="1" s="1"/>
  <c r="E376" i="1"/>
  <c r="I204" i="1"/>
  <c r="I206" i="1" s="1"/>
  <c r="I147" i="1" s="1"/>
  <c r="E350" i="1"/>
  <c r="E347" i="1"/>
  <c r="J343" i="1" s="1"/>
  <c r="E436" i="1"/>
  <c r="G431" i="1"/>
  <c r="G377" i="1" s="1"/>
  <c r="G376" i="1"/>
  <c r="G350" i="1"/>
  <c r="G346" i="1" s="1"/>
  <c r="G436" i="1"/>
  <c r="G374" i="1"/>
  <c r="G348" i="1" s="1"/>
  <c r="G403" i="1"/>
  <c r="G433" i="1"/>
  <c r="I431" i="1"/>
  <c r="I377" i="1" s="1"/>
  <c r="I376" i="1"/>
  <c r="I382" i="1"/>
  <c r="I437" i="1"/>
  <c r="I383" i="1" s="1"/>
  <c r="E254" i="1"/>
  <c r="E309" i="1"/>
  <c r="E255" i="1" s="1"/>
  <c r="E260" i="1"/>
  <c r="E315" i="1"/>
  <c r="E261" i="1" s="1"/>
  <c r="E227" i="1"/>
  <c r="E224" i="1"/>
  <c r="J217" i="1" s="1"/>
  <c r="E252" i="1"/>
  <c r="E225" i="1" s="1"/>
  <c r="E281" i="1"/>
  <c r="G276" i="1"/>
  <c r="G332" i="1"/>
  <c r="G278" i="1" s="1"/>
  <c r="G306" i="1"/>
  <c r="E311" i="1" s="1"/>
  <c r="G314" i="1"/>
  <c r="G250" i="1"/>
  <c r="G308" i="1"/>
  <c r="G280" i="1"/>
  <c r="I276" i="1"/>
  <c r="I332" i="1"/>
  <c r="I278" i="1" s="1"/>
  <c r="I306" i="1"/>
  <c r="I314" i="1"/>
  <c r="I308" i="1"/>
  <c r="I250" i="1"/>
  <c r="I280" i="1"/>
  <c r="E204" i="1"/>
  <c r="E140" i="1"/>
  <c r="E117" i="1"/>
  <c r="E178" i="1"/>
  <c r="G204" i="1"/>
  <c r="G140" i="1"/>
  <c r="G117" i="1"/>
  <c r="G178" i="1"/>
  <c r="I182" i="1"/>
  <c r="I119" i="1"/>
  <c r="I180" i="1"/>
  <c r="K117" i="1"/>
  <c r="K204" i="1"/>
  <c r="K145" i="1" s="1"/>
  <c r="K224" i="1"/>
  <c r="J214" i="1" s="1"/>
  <c r="Q280" i="1"/>
  <c r="K254" i="1"/>
  <c r="K309" i="1"/>
  <c r="K255" i="1" s="1"/>
  <c r="K314" i="1"/>
  <c r="K180" i="1"/>
  <c r="K151" i="1"/>
  <c r="K119" i="1"/>
  <c r="K92" i="1" s="1"/>
  <c r="K252" i="1"/>
  <c r="K225" i="1" s="1"/>
  <c r="L225" i="1" s="1"/>
  <c r="K281" i="1"/>
  <c r="K398" i="1"/>
  <c r="K454" i="1"/>
  <c r="K400" i="1" s="1"/>
  <c r="K428" i="1"/>
  <c r="K402" i="1"/>
  <c r="K372" i="1"/>
  <c r="K350" i="1" s="1"/>
  <c r="K436" i="1"/>
  <c r="K430" i="1"/>
  <c r="M204" i="1"/>
  <c r="M145" i="1" s="1"/>
  <c r="Q250" i="1"/>
  <c r="Q224" i="1" s="1"/>
  <c r="J211" i="1" s="1"/>
  <c r="O428" i="1"/>
  <c r="O403" i="1" s="1"/>
  <c r="Q306" i="1"/>
  <c r="K317" i="1" s="1"/>
  <c r="O372" i="1"/>
  <c r="O347" i="1" s="1"/>
  <c r="J338" i="1" s="1"/>
  <c r="Q332" i="1"/>
  <c r="Q278" i="1" s="1"/>
  <c r="O178" i="1"/>
  <c r="O119" i="1" s="1"/>
  <c r="O90" i="1" s="1"/>
  <c r="J83" i="1" s="1"/>
  <c r="O204" i="1"/>
  <c r="O145" i="1" s="1"/>
  <c r="M436" i="1"/>
  <c r="M437" i="1" s="1"/>
  <c r="M430" i="1"/>
  <c r="M431" i="1" s="1"/>
  <c r="M314" i="1"/>
  <c r="M315" i="1" s="1"/>
  <c r="M308" i="1"/>
  <c r="M309" i="1" s="1"/>
  <c r="O436" i="1"/>
  <c r="O437" i="1" s="1"/>
  <c r="O383" i="1" s="1"/>
  <c r="O430" i="1"/>
  <c r="O431" i="1" s="1"/>
  <c r="O377" i="1" s="1"/>
  <c r="O314" i="1"/>
  <c r="O308" i="1"/>
  <c r="O306" i="1"/>
  <c r="O250" i="1"/>
  <c r="O224" i="1" s="1"/>
  <c r="J212" i="1" s="1"/>
  <c r="K212" i="1" s="1"/>
  <c r="L212" i="1" s="1"/>
  <c r="O280" i="1"/>
  <c r="O276" i="1"/>
  <c r="O332" i="1"/>
  <c r="O278" i="1" s="1"/>
  <c r="M178" i="1"/>
  <c r="M151" i="1" s="1"/>
  <c r="Q117" i="1"/>
  <c r="Q178" i="1"/>
  <c r="K188" i="1" s="1"/>
  <c r="Q372" i="1"/>
  <c r="Q347" i="1" s="1"/>
  <c r="J337" i="1" s="1"/>
  <c r="Q428" i="1"/>
  <c r="I439" i="1" s="1"/>
  <c r="Q402" i="1"/>
  <c r="Q398" i="1"/>
  <c r="Q454" i="1"/>
  <c r="Q400" i="1" s="1"/>
  <c r="Q140" i="1"/>
  <c r="Q204" i="1"/>
  <c r="M428" i="1"/>
  <c r="M372" i="1"/>
  <c r="M350" i="1" s="1"/>
  <c r="M402" i="1"/>
  <c r="M306" i="1"/>
  <c r="K311" i="1" s="1"/>
  <c r="M250" i="1"/>
  <c r="M227" i="1" s="1"/>
  <c r="M280" i="1"/>
  <c r="M276" i="1"/>
  <c r="M332" i="1"/>
  <c r="M278" i="1" s="1"/>
  <c r="M398" i="1"/>
  <c r="M454" i="1"/>
  <c r="M400" i="1" s="1"/>
  <c r="I433" i="1" l="1"/>
  <c r="I403" i="1"/>
  <c r="K217" i="1"/>
  <c r="L217" i="1" s="1"/>
  <c r="I145" i="1"/>
  <c r="K342" i="1"/>
  <c r="L342" i="1" s="1"/>
  <c r="K343" i="1"/>
  <c r="L343" i="1" s="1"/>
  <c r="K341" i="1"/>
  <c r="L341" i="1" s="1"/>
  <c r="I350" i="1"/>
  <c r="I351" i="1" s="1"/>
  <c r="E351" i="1"/>
  <c r="F350" i="1"/>
  <c r="E439" i="1"/>
  <c r="E434" i="1"/>
  <c r="E380" i="1" s="1"/>
  <c r="E379" i="1"/>
  <c r="E437" i="1"/>
  <c r="E383" i="1" s="1"/>
  <c r="E382" i="1"/>
  <c r="E346" i="1"/>
  <c r="G439" i="1"/>
  <c r="H350" i="1"/>
  <c r="G351" i="1"/>
  <c r="G434" i="1"/>
  <c r="G380" i="1" s="1"/>
  <c r="G379" i="1"/>
  <c r="G437" i="1"/>
  <c r="G383" i="1" s="1"/>
  <c r="G382" i="1"/>
  <c r="I434" i="1"/>
  <c r="I380" i="1" s="1"/>
  <c r="I379" i="1"/>
  <c r="I385" i="1"/>
  <c r="I440" i="1"/>
  <c r="I386" i="1" s="1"/>
  <c r="I346" i="1"/>
  <c r="E312" i="1"/>
  <c r="E258" i="1" s="1"/>
  <c r="E257" i="1"/>
  <c r="E317" i="1"/>
  <c r="E223" i="1"/>
  <c r="E228" i="1"/>
  <c r="F227" i="1"/>
  <c r="G260" i="1"/>
  <c r="G315" i="1"/>
  <c r="G261" i="1" s="1"/>
  <c r="G317" i="1"/>
  <c r="G311" i="1"/>
  <c r="G252" i="1"/>
  <c r="G225" i="1" s="1"/>
  <c r="G281" i="1"/>
  <c r="G254" i="1"/>
  <c r="G309" i="1"/>
  <c r="G255" i="1" s="1"/>
  <c r="G227" i="1"/>
  <c r="G224" i="1"/>
  <c r="J216" i="1" s="1"/>
  <c r="K216" i="1" s="1"/>
  <c r="L216" i="1" s="1"/>
  <c r="I260" i="1"/>
  <c r="I315" i="1"/>
  <c r="I261" i="1" s="1"/>
  <c r="I317" i="1"/>
  <c r="I311" i="1"/>
  <c r="I252" i="1"/>
  <c r="I225" i="1" s="1"/>
  <c r="I281" i="1"/>
  <c r="I227" i="1"/>
  <c r="I224" i="1"/>
  <c r="J215" i="1" s="1"/>
  <c r="K215" i="1" s="1"/>
  <c r="L215" i="1" s="1"/>
  <c r="I254" i="1"/>
  <c r="I309" i="1"/>
  <c r="I255" i="1" s="1"/>
  <c r="E188" i="1"/>
  <c r="E182" i="1"/>
  <c r="E151" i="1"/>
  <c r="E119" i="1"/>
  <c r="E180" i="1"/>
  <c r="E145" i="1"/>
  <c r="E206" i="1"/>
  <c r="E147" i="1" s="1"/>
  <c r="G188" i="1"/>
  <c r="G182" i="1"/>
  <c r="G180" i="1"/>
  <c r="G151" i="1"/>
  <c r="G119" i="1"/>
  <c r="G145" i="1"/>
  <c r="G206" i="1"/>
  <c r="G147" i="1" s="1"/>
  <c r="I123" i="1"/>
  <c r="I183" i="1"/>
  <c r="I124" i="1" s="1"/>
  <c r="I121" i="1"/>
  <c r="I91" i="1" s="1"/>
  <c r="I185" i="1"/>
  <c r="I152" i="1"/>
  <c r="I188" i="1"/>
  <c r="I92" i="1"/>
  <c r="I90" i="1"/>
  <c r="J86" i="1" s="1"/>
  <c r="K214" i="1"/>
  <c r="L214" i="1" s="1"/>
  <c r="L224" i="1"/>
  <c r="K223" i="1"/>
  <c r="K206" i="1"/>
  <c r="K147" i="1" s="1"/>
  <c r="K228" i="1"/>
  <c r="L227" i="1"/>
  <c r="K347" i="1"/>
  <c r="J340" i="1" s="1"/>
  <c r="K340" i="1" s="1"/>
  <c r="L340" i="1" s="1"/>
  <c r="M347" i="1"/>
  <c r="M346" i="1" s="1"/>
  <c r="M224" i="1"/>
  <c r="M223" i="1" s="1"/>
  <c r="N227" i="1"/>
  <c r="K90" i="1"/>
  <c r="K89" i="1" s="1"/>
  <c r="Q252" i="1"/>
  <c r="Q225" i="1" s="1"/>
  <c r="K312" i="1"/>
  <c r="K258" i="1" s="1"/>
  <c r="K257" i="1"/>
  <c r="K437" i="1"/>
  <c r="K383" i="1" s="1"/>
  <c r="K382" i="1"/>
  <c r="K129" i="1"/>
  <c r="K189" i="1"/>
  <c r="K130" i="1" s="1"/>
  <c r="K260" i="1"/>
  <c r="K315" i="1"/>
  <c r="K261" i="1" s="1"/>
  <c r="K318" i="1"/>
  <c r="K264" i="1" s="1"/>
  <c r="K263" i="1"/>
  <c r="K152" i="1"/>
  <c r="K121" i="1"/>
  <c r="K91" i="1" s="1"/>
  <c r="L91" i="1" s="1"/>
  <c r="M206" i="1"/>
  <c r="M147" i="1" s="1"/>
  <c r="O151" i="1"/>
  <c r="K431" i="1"/>
  <c r="K377" i="1" s="1"/>
  <c r="K376" i="1"/>
  <c r="K403" i="1"/>
  <c r="K439" i="1"/>
  <c r="K433" i="1"/>
  <c r="K374" i="1"/>
  <c r="K182" i="1"/>
  <c r="Q281" i="1"/>
  <c r="O374" i="1"/>
  <c r="O348" i="1" s="1"/>
  <c r="O206" i="1"/>
  <c r="O147" i="1" s="1"/>
  <c r="O180" i="1"/>
  <c r="O152" i="1" s="1"/>
  <c r="O188" i="1"/>
  <c r="O129" i="1" s="1"/>
  <c r="M119" i="1"/>
  <c r="M92" i="1" s="1"/>
  <c r="M180" i="1"/>
  <c r="M121" i="1" s="1"/>
  <c r="M91" i="1" s="1"/>
  <c r="N91" i="1" s="1"/>
  <c r="O376" i="1"/>
  <c r="O182" i="1"/>
  <c r="O123" i="1" s="1"/>
  <c r="O382" i="1"/>
  <c r="M439" i="1"/>
  <c r="M440" i="1" s="1"/>
  <c r="M433" i="1"/>
  <c r="M434" i="1" s="1"/>
  <c r="M188" i="1"/>
  <c r="M189" i="1" s="1"/>
  <c r="M130" i="1" s="1"/>
  <c r="M182" i="1"/>
  <c r="M183" i="1" s="1"/>
  <c r="M124" i="1" s="1"/>
  <c r="M317" i="1"/>
  <c r="M318" i="1" s="1"/>
  <c r="M311" i="1"/>
  <c r="M312" i="1" s="1"/>
  <c r="O439" i="1"/>
  <c r="O440" i="1" s="1"/>
  <c r="O386" i="1" s="1"/>
  <c r="O433" i="1"/>
  <c r="O434" i="1" s="1"/>
  <c r="O380" i="1" s="1"/>
  <c r="O311" i="1"/>
  <c r="O317" i="1"/>
  <c r="O252" i="1"/>
  <c r="O225" i="1" s="1"/>
  <c r="O281" i="1"/>
  <c r="O309" i="1"/>
  <c r="O255" i="1" s="1"/>
  <c r="O254" i="1"/>
  <c r="O315" i="1"/>
  <c r="O261" i="1" s="1"/>
  <c r="O260" i="1"/>
  <c r="Q145" i="1"/>
  <c r="Q206" i="1"/>
  <c r="Q147" i="1" s="1"/>
  <c r="Q403" i="1"/>
  <c r="Q374" i="1"/>
  <c r="Q348" i="1" s="1"/>
  <c r="Q180" i="1"/>
  <c r="K191" i="1" s="1"/>
  <c r="Q119" i="1"/>
  <c r="Q90" i="1" s="1"/>
  <c r="J82" i="1" s="1"/>
  <c r="K83" i="1" s="1"/>
  <c r="L83" i="1" s="1"/>
  <c r="Q151" i="1"/>
  <c r="K338" i="1"/>
  <c r="L338" i="1" s="1"/>
  <c r="M261" i="1"/>
  <c r="M260" i="1"/>
  <c r="M383" i="1"/>
  <c r="M382" i="1"/>
  <c r="M255" i="1"/>
  <c r="M254" i="1"/>
  <c r="M377" i="1"/>
  <c r="M376" i="1"/>
  <c r="M281" i="1"/>
  <c r="M252" i="1"/>
  <c r="M225" i="1" s="1"/>
  <c r="N225" i="1" s="1"/>
  <c r="M403" i="1"/>
  <c r="M374" i="1"/>
  <c r="M348" i="1" s="1"/>
  <c r="N348" i="1" s="1"/>
  <c r="J350" i="1" l="1"/>
  <c r="E385" i="1"/>
  <c r="E440" i="1"/>
  <c r="E386" i="1" s="1"/>
  <c r="G385" i="1"/>
  <c r="G440" i="1"/>
  <c r="G386" i="1" s="1"/>
  <c r="E318" i="1"/>
  <c r="E264" i="1" s="1"/>
  <c r="E263" i="1"/>
  <c r="G312" i="1"/>
  <c r="G258" i="1" s="1"/>
  <c r="G257" i="1"/>
  <c r="G318" i="1"/>
  <c r="G264" i="1" s="1"/>
  <c r="G263" i="1"/>
  <c r="G223" i="1"/>
  <c r="G228" i="1"/>
  <c r="H227" i="1"/>
  <c r="I223" i="1"/>
  <c r="I228" i="1"/>
  <c r="J227" i="1"/>
  <c r="I318" i="1"/>
  <c r="I264" i="1" s="1"/>
  <c r="I263" i="1"/>
  <c r="I312" i="1"/>
  <c r="I258" i="1" s="1"/>
  <c r="I257" i="1"/>
  <c r="E92" i="1"/>
  <c r="E90" i="1"/>
  <c r="J88" i="1" s="1"/>
  <c r="K88" i="1" s="1"/>
  <c r="L88" i="1" s="1"/>
  <c r="E123" i="1"/>
  <c r="E183" i="1"/>
  <c r="E124" i="1" s="1"/>
  <c r="E121" i="1"/>
  <c r="E91" i="1" s="1"/>
  <c r="E191" i="1"/>
  <c r="E185" i="1"/>
  <c r="E152" i="1"/>
  <c r="E129" i="1"/>
  <c r="E189" i="1"/>
  <c r="E130" i="1" s="1"/>
  <c r="G121" i="1"/>
  <c r="G91" i="1" s="1"/>
  <c r="G191" i="1"/>
  <c r="G185" i="1"/>
  <c r="G152" i="1"/>
  <c r="G183" i="1"/>
  <c r="G124" i="1" s="1"/>
  <c r="G123" i="1"/>
  <c r="G92" i="1"/>
  <c r="G90" i="1"/>
  <c r="J87" i="1" s="1"/>
  <c r="K87" i="1" s="1"/>
  <c r="L87" i="1" s="1"/>
  <c r="G129" i="1"/>
  <c r="G189" i="1"/>
  <c r="G130" i="1" s="1"/>
  <c r="J92" i="1"/>
  <c r="I93" i="1"/>
  <c r="I191" i="1"/>
  <c r="I129" i="1"/>
  <c r="I189" i="1"/>
  <c r="I130" i="1" s="1"/>
  <c r="I89" i="1"/>
  <c r="I186" i="1"/>
  <c r="I127" i="1" s="1"/>
  <c r="I126" i="1"/>
  <c r="L347" i="1"/>
  <c r="K346" i="1"/>
  <c r="K348" i="1"/>
  <c r="L348" i="1" s="1"/>
  <c r="K93" i="1"/>
  <c r="J339" i="1"/>
  <c r="K339" i="1" s="1"/>
  <c r="L339" i="1" s="1"/>
  <c r="N347" i="1"/>
  <c r="K351" i="1"/>
  <c r="L350" i="1"/>
  <c r="J213" i="1"/>
  <c r="K213" i="1" s="1"/>
  <c r="L213" i="1" s="1"/>
  <c r="N224" i="1"/>
  <c r="M351" i="1"/>
  <c r="N350" i="1"/>
  <c r="M228" i="1"/>
  <c r="L92" i="1"/>
  <c r="J85" i="1"/>
  <c r="K85" i="1" s="1"/>
  <c r="L85" i="1" s="1"/>
  <c r="L90" i="1"/>
  <c r="M90" i="1"/>
  <c r="N92" i="1"/>
  <c r="K86" i="1"/>
  <c r="L86" i="1" s="1"/>
  <c r="K192" i="1"/>
  <c r="K133" i="1" s="1"/>
  <c r="K132" i="1"/>
  <c r="K440" i="1"/>
  <c r="K386" i="1" s="1"/>
  <c r="K385" i="1"/>
  <c r="K183" i="1"/>
  <c r="K124" i="1" s="1"/>
  <c r="K123" i="1"/>
  <c r="K434" i="1"/>
  <c r="K380" i="1" s="1"/>
  <c r="K379" i="1"/>
  <c r="K185" i="1"/>
  <c r="O185" i="1"/>
  <c r="O186" i="1" s="1"/>
  <c r="O127" i="1" s="1"/>
  <c r="O121" i="1"/>
  <c r="O91" i="1" s="1"/>
  <c r="O189" i="1"/>
  <c r="O130" i="1" s="1"/>
  <c r="M185" i="1"/>
  <c r="M186" i="1" s="1"/>
  <c r="M127" i="1" s="1"/>
  <c r="O183" i="1"/>
  <c r="O124" i="1" s="1"/>
  <c r="M152" i="1"/>
  <c r="O385" i="1"/>
  <c r="M123" i="1"/>
  <c r="M191" i="1"/>
  <c r="M192" i="1" s="1"/>
  <c r="M133" i="1" s="1"/>
  <c r="M129" i="1"/>
  <c r="O379" i="1"/>
  <c r="O318" i="1"/>
  <c r="O264" i="1" s="1"/>
  <c r="O263" i="1"/>
  <c r="O312" i="1"/>
  <c r="O258" i="1" s="1"/>
  <c r="O257" i="1"/>
  <c r="Q130" i="1"/>
  <c r="Q129" i="1"/>
  <c r="Q121" i="1"/>
  <c r="Q91" i="1" s="1"/>
  <c r="Q152" i="1"/>
  <c r="O191" i="1"/>
  <c r="Q124" i="1"/>
  <c r="Q123" i="1"/>
  <c r="M264" i="1"/>
  <c r="M263" i="1"/>
  <c r="M258" i="1"/>
  <c r="M257" i="1"/>
  <c r="M380" i="1"/>
  <c r="M379" i="1"/>
  <c r="M386" i="1"/>
  <c r="M385" i="1"/>
  <c r="E186" i="1" l="1"/>
  <c r="E127" i="1" s="1"/>
  <c r="E126" i="1"/>
  <c r="E192" i="1"/>
  <c r="E133" i="1" s="1"/>
  <c r="E132" i="1"/>
  <c r="E89" i="1"/>
  <c r="F92" i="1"/>
  <c r="E93" i="1"/>
  <c r="G89" i="1"/>
  <c r="G93" i="1"/>
  <c r="H92" i="1"/>
  <c r="G186" i="1"/>
  <c r="G127" i="1" s="1"/>
  <c r="G126" i="1"/>
  <c r="G192" i="1"/>
  <c r="G133" i="1" s="1"/>
  <c r="G132" i="1"/>
  <c r="I192" i="1"/>
  <c r="I133" i="1" s="1"/>
  <c r="I132" i="1"/>
  <c r="N90" i="1"/>
  <c r="M89" i="1"/>
  <c r="M93" i="1"/>
  <c r="J84" i="1"/>
  <c r="K84" i="1" s="1"/>
  <c r="L84" i="1" s="1"/>
  <c r="K126" i="1"/>
  <c r="K186" i="1"/>
  <c r="K127" i="1" s="1"/>
  <c r="O126" i="1"/>
  <c r="M126" i="1"/>
  <c r="M132" i="1"/>
  <c r="Q132" i="1"/>
  <c r="Q133" i="1"/>
  <c r="O192" i="1"/>
  <c r="O133" i="1" s="1"/>
  <c r="O132" i="1"/>
  <c r="Q127" i="1"/>
  <c r="Q1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Víctor</author>
    <author>Victor</author>
    <author>vicky</author>
  </authors>
  <commentList>
    <comment ref="A76" authorId="0" shapeId="0" xr:uid="{FE8E50E3-2AA6-4135-8918-E0B37647C6E8}">
      <text>
        <r>
          <rPr>
            <sz val="10"/>
            <rFont val="Tahoma"/>
            <family val="2"/>
          </rPr>
          <t>Si no saben el número del cargo, lo pueden buscar en la hoja cargos, cuya pestaña aparece en parte inferior izquierda de la pantalla.</t>
        </r>
      </text>
    </comment>
    <comment ref="B79" authorId="0" shapeId="0" xr:uid="{511C3864-8B6F-4715-9E34-B62AE681339D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Completar con el porcentaje de zona que corresponda.</t>
        </r>
      </text>
    </comment>
    <comment ref="E79" authorId="0" shapeId="0" xr:uid="{A02171C8-FC0A-42B4-BF50-80F12ECDBEFE}">
      <text>
        <r>
          <rPr>
            <sz val="8"/>
            <rFont val="Tahoma"/>
            <family val="2"/>
          </rPr>
          <t>Si trabajaron en el mismo cargo en los últimos 10 años, dejar el 120. De lo contraro fraccionar con la cantidad de meses.</t>
        </r>
      </text>
    </comment>
    <comment ref="D85" authorId="0" shapeId="0" xr:uid="{1B57A145-99F1-4A34-81F3-5DFB537F8656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Para la mayoría de los casos corresponde 120 % de antigüedad, pero he encontrado otros valores en algunos recibos.</t>
        </r>
      </text>
    </comment>
    <comment ref="B216" authorId="1" shapeId="0" xr:uid="{2F8CA7F8-7EE2-478C-973D-D2409FBD2C9F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Si te jubilaste sólo con horas, si no tenés que restarle el porcentaje de tiempo de los últimos 10 años que tuviste cargo.</t>
        </r>
      </text>
    </comment>
    <comment ref="D217" authorId="2" shapeId="0" xr:uid="{07A484C9-C929-48CB-B8D9-6D5BF6759BB1}">
      <text>
        <r>
          <rPr>
            <b/>
            <sz val="10"/>
            <rFont val="Tahoma"/>
            <family val="2"/>
          </rPr>
          <t>Victor:
Si sólo cobrás por horas poné 100%, si cobrás también por cargo poné 0%.</t>
        </r>
      </text>
    </comment>
    <comment ref="D343" authorId="1" shapeId="0" xr:uid="{6906BD8D-13F7-401A-B7BE-C6BE71EFEE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</t>
        </r>
        <r>
          <rPr>
            <b/>
            <sz val="9"/>
            <rFont val="Tahoma"/>
            <family val="2"/>
          </rPr>
          <t>Si sólo cobrás por horas poné 100%, si cobrás también por cargo poné 0%.</t>
        </r>
      </text>
    </comment>
    <comment ref="C414" authorId="1" shapeId="0" xr:uid="{43B3878B-98B0-42BA-86C8-2E00BB8CEAAC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Indicar si la cantidad de horas de este código es diferente a la cantidad de horas totales, si no corresponde porque se cobra en cargo, poner 0 en este lugar.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<sst xmlns="http://schemas.openxmlformats.org/spreadsheetml/2006/main" count="769" uniqueCount="533">
  <si>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</si>
  <si>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</si>
  <si>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</si>
  <si>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</si>
  <si>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</si>
  <si>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</si>
  <si>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</si>
  <si>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</si>
  <si>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</si>
  <si>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</si>
  <si>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</si>
  <si>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</si>
  <si>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</si>
  <si>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</si>
  <si>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</si>
  <si>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</si>
  <si>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</si>
  <si>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</si>
  <si>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</si>
  <si>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</si>
  <si>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</si>
  <si>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</si>
  <si>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</si>
  <si>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</si>
  <si>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</si>
  <si>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</si>
  <si>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</si>
  <si>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</si>
  <si>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</si>
  <si>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</si>
  <si>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</si>
  <si>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</si>
  <si>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</si>
  <si>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</si>
  <si>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</si>
  <si>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</si>
  <si>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</si>
  <si>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</si>
  <si>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</si>
  <si>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</si>
  <si>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</si>
  <si>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</si>
  <si>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</si>
  <si>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</si>
  <si>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</si>
  <si>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</si>
  <si>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</si>
  <si>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</si>
  <si>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</si>
  <si>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</si>
  <si>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</si>
  <si>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</si>
  <si>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</si>
  <si>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</si>
  <si>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</si>
  <si>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</si>
  <si>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</si>
  <si>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</si>
  <si>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</si>
  <si>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</si>
  <si>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</si>
  <si>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</si>
  <si>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</si>
  <si>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</si>
  <si>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</si>
  <si>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</si>
  <si>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</si>
  <si>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</si>
  <si>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</si>
  <si>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</si>
  <si>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</si>
  <si>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</si>
  <si>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</si>
  <si>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</si>
  <si>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</si>
  <si>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</si>
  <si>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</si>
  <si>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</si>
  <si>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</si>
  <si>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</si>
  <si>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</si>
  <si>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</si>
  <si>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</si>
  <si>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</si>
  <si>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</si>
  <si>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</si>
  <si>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</si>
  <si>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</si>
  <si>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</si>
  <si>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</si>
  <si>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</si>
  <si>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</si>
  <si>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</si>
  <si>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</si>
  <si>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</si>
  <si>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</si>
  <si>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</si>
  <si>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</si>
  <si>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</si>
  <si>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</si>
  <si>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</si>
  <si>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</si>
  <si>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</si>
  <si>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</si>
  <si>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</si>
  <si>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</si>
  <si>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</si>
  <si>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</si>
  <si>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</si>
  <si>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</si>
  <si>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</si>
  <si>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</si>
  <si>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</si>
  <si>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</si>
  <si>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</si>
  <si>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</si>
  <si>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</si>
  <si>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</si>
  <si>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</si>
  <si>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</si>
  <si>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</si>
  <si>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</si>
  <si>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</si>
  <si>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</si>
  <si>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</si>
  <si>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</si>
  <si>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</si>
  <si>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</si>
  <si>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</si>
  <si>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</si>
  <si>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</si>
  <si>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</si>
  <si>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</si>
  <si>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</si>
  <si>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</si>
  <si>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</si>
  <si>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</si>
  <si>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</si>
  <si>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</si>
  <si>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</si>
  <si>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</si>
  <si>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</si>
  <si>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</si>
  <si>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</si>
  <si>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</si>
  <si>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</si>
  <si>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</si>
  <si>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</si>
  <si>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</si>
  <si>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</si>
  <si>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</si>
  <si>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</si>
  <si>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</si>
  <si>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</si>
  <si>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</si>
  <si>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</si>
  <si>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</si>
  <si>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</si>
  <si>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</si>
  <si>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</si>
  <si>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</si>
  <si>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</si>
  <si>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</si>
  <si>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</si>
  <si>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</si>
  <si>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</si>
  <si>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</si>
  <si>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</si>
  <si>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</si>
  <si>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</si>
  <si>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</si>
  <si>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</si>
  <si>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</si>
  <si>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</si>
  <si>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</si>
  <si>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</si>
  <si>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</si>
  <si>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</si>
  <si>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</si>
  <si>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</si>
  <si>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</si>
  <si>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</si>
  <si>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</si>
  <si>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</si>
  <si>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</si>
  <si>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</si>
  <si>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</si>
  <si>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</si>
  <si>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</si>
  <si>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</si>
  <si>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</si>
  <si>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</si>
  <si>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</si>
  <si>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</si>
  <si>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</si>
  <si>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</si>
  <si>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</si>
  <si>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</si>
  <si>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</si>
  <si>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</si>
  <si>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</si>
  <si>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</si>
  <si>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</si>
  <si>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</si>
  <si>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</si>
  <si>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</si>
  <si>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</si>
  <si>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</si>
  <si>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</si>
  <si>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</si>
  <si>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</si>
  <si>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</si>
  <si>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</si>
  <si>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</si>
  <si>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</si>
  <si>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</si>
  <si>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</si>
  <si>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</si>
  <si>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</si>
  <si>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</si>
  <si>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</si>
  <si>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</si>
  <si>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</si>
  <si>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</si>
  <si>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</si>
  <si>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</si>
  <si>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</si>
  <si>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</si>
  <si>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</si>
  <si>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</si>
  <si>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</si>
  <si>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</si>
  <si>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</si>
  <si>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</si>
  <si>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</si>
  <si>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</si>
  <si>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</si>
  <si>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</si>
  <si>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</si>
  <si>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</si>
  <si>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</si>
  <si>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</si>
  <si>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</si>
  <si>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</si>
  <si>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</si>
  <si>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</si>
  <si>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</si>
  <si>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</si>
  <si>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</si>
  <si>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</si>
  <si>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</si>
  <si>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</si>
  <si>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</si>
  <si>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</si>
  <si>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</si>
  <si>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</si>
  <si>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</si>
  <si>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</si>
  <si>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</si>
  <si>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</si>
  <si>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</si>
  <si>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</si>
  <si>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</si>
  <si>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</si>
  <si>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</si>
  <si>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</si>
  <si>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</si>
  <si>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</si>
  <si>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</si>
  <si>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</si>
  <si>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</si>
  <si>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</si>
  <si>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</si>
  <si>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</si>
  <si>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</si>
  <si>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</si>
  <si>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</si>
  <si>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</si>
  <si>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</si>
  <si>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</si>
  <si>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</si>
  <si>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</si>
  <si>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</si>
  <si>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</si>
  <si>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</si>
  <si>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</si>
  <si>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</si>
  <si>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</si>
  <si>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</si>
  <si>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</si>
  <si>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</si>
  <si>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</si>
  <si>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</si>
  <si>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</si>
  <si>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</si>
  <si>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</si>
  <si>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</si>
  <si>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</si>
  <si>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</si>
  <si>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</si>
  <si>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</si>
  <si>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</si>
  <si>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</si>
  <si>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</si>
  <si>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</si>
  <si>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</si>
  <si>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</si>
  <si>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</si>
  <si>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</si>
  <si>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</si>
  <si>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</si>
  <si>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</si>
  <si>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</si>
  <si>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</si>
  <si>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</si>
  <si>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</si>
  <si>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</si>
  <si>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</si>
  <si>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</si>
  <si>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</si>
  <si>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</si>
  <si>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</si>
  <si>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</si>
  <si>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</si>
  <si>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</si>
  <si>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</si>
  <si>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</si>
  <si>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</si>
  <si>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</si>
  <si>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</si>
  <si>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</si>
  <si>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</si>
  <si>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</si>
  <si>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</si>
  <si>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</si>
  <si>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</si>
  <si>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</si>
  <si>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</si>
  <si>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</si>
  <si>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</si>
  <si>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</si>
  <si>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</si>
  <si>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</si>
  <si>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</si>
  <si>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</si>
  <si>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</si>
  <si>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</si>
  <si>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</si>
  <si>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</si>
  <si>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</si>
  <si>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</si>
  <si>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</si>
  <si>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</si>
  <si>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</si>
  <si>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</si>
  <si>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</si>
  <si>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</si>
  <si>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</si>
  <si>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</si>
  <si>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</si>
  <si>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</si>
  <si>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</si>
  <si>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</si>
  <si>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</si>
  <si>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</si>
  <si>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</si>
  <si>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</si>
  <si>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</si>
  <si>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</si>
  <si>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</si>
  <si>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</si>
  <si>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</si>
  <si>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</si>
  <si>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</si>
  <si>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</si>
  <si>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</si>
  <si>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</si>
  <si>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</si>
  <si>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</si>
  <si>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</si>
  <si>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</si>
  <si>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</si>
  <si>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</si>
  <si>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</si>
  <si>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</si>
  <si>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</si>
  <si>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t xml:space="preserve">Simulador  salarial 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</si>
  <si>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</si>
  <si>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</si>
  <si>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</si>
  <si>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</si>
  <si>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</si>
  <si>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 xml:space="preserve">Sueldo inicial: </t>
  </si>
  <si>
    <t>de la canasta básica total"</t>
  </si>
  <si>
    <t>Inicial sin montos en negro:</t>
  </si>
  <si>
    <t>IPC Acum Anual</t>
  </si>
  <si>
    <r>
      <t xml:space="preserve">Se deben completar los datos en </t>
    </r>
    <r>
      <rPr>
        <b/>
        <sz val="11"/>
        <color indexed="10"/>
        <rFont val="Arial"/>
        <family val="2"/>
      </rPr>
      <t xml:space="preserve">rojo, </t>
    </r>
    <r>
      <rPr>
        <sz val="11"/>
        <rFont val="Arial"/>
        <family val="2"/>
      </rPr>
      <t>lo demás se calcula todo solo.</t>
    </r>
  </si>
  <si>
    <t xml:space="preserve">Leer los comentarios en las celdas que tengan una puntita roja en el ángulo superior derecho, </t>
  </si>
  <si>
    <t>el comentario aparece al posicionar el cursor sobre la celda.</t>
  </si>
  <si>
    <t xml:space="preserve">Deben seleccionar el número de cargo o  el número de horas que aparecen en rojo, </t>
  </si>
  <si>
    <t>todo lo demás aparece automáticamente</t>
  </si>
  <si>
    <t>Si no conocen el número de cargo, lo pueden buscar en la hoja "cargos", seleccionando la pestaña</t>
  </si>
  <si>
    <t xml:space="preserve">que aparece en la parte inferior de la pantalla y buscar su </t>
  </si>
  <si>
    <t>número para luego ingresarlo en el lugar especificado.</t>
  </si>
  <si>
    <t>Si trabajaron en los últimos 10 años en diferentes cargos, se deberá calcular en forma fraccionada,</t>
  </si>
  <si>
    <t>Si desean imprimir una situación, realicen el siguiente procedimiento: seleccionar con el mouse el área donde</t>
  </si>
  <si>
    <t xml:space="preserve">aparece el recibo que se desea imprimir, y con eso seleccionado, ir a archivo, imprimir y elegir la opción </t>
  </si>
  <si>
    <t>selección, de lo contrario les va a imprimir toda la planilla, incluyendo comentarios, etc.</t>
  </si>
  <si>
    <r>
      <t>Si encuentran errores, por favor avisenme.</t>
    </r>
    <r>
      <rPr>
        <sz val="11"/>
        <color indexed="17"/>
        <rFont val="Arial"/>
        <family val="2"/>
      </rPr>
      <t xml:space="preserve"> huttvictor@gmail.com</t>
    </r>
  </si>
  <si>
    <t>indicedic25</t>
  </si>
  <si>
    <t>Indiceproljordic25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</si>
  <si>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</si>
  <si>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</si>
  <si>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</si>
  <si>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</si>
  <si>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</si>
  <si>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</si>
  <si>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</si>
  <si>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   971</t>
  </si>
  <si>
    <t>JC &gt; 971</t>
  </si>
  <si>
    <t>JC defint</t>
  </si>
  <si>
    <t>Jubilado - CARGOS</t>
  </si>
  <si>
    <t>PUNTOS basicos</t>
  </si>
  <si>
    <t xml:space="preserve"> tarea DIFER.</t>
  </si>
  <si>
    <t>Prol JORN</t>
  </si>
  <si>
    <t>jorn Compl</t>
  </si>
  <si>
    <t>comp básico 2016</t>
  </si>
  <si>
    <t>Comp Direct 2016</t>
  </si>
  <si>
    <t>Adic Esc Nina</t>
  </si>
  <si>
    <t>Comp direct 2022</t>
  </si>
  <si>
    <t>Zona</t>
  </si>
  <si>
    <t>Fracción</t>
  </si>
  <si>
    <t>1: Si; 0: No</t>
  </si>
  <si>
    <t>Porcentaje de jubilación</t>
  </si>
  <si>
    <t>Directivo Nina??</t>
  </si>
  <si>
    <t>Porcentaje de Antigüedad</t>
  </si>
  <si>
    <t>(No poner el símbolo %)</t>
  </si>
  <si>
    <t>CARGOS</t>
  </si>
  <si>
    <t>Puntos básicos</t>
  </si>
  <si>
    <t>Se calcula solo</t>
  </si>
  <si>
    <t>Puntos  prol jornada</t>
  </si>
  <si>
    <t>Sin el efecto de aporte jubilatorio, buscarlos en los recibos más abajo.</t>
  </si>
  <si>
    <t>Liquido Menores</t>
  </si>
  <si>
    <t>25,000 Bonificables y Remunerativos</t>
  </si>
  <si>
    <t>Aporte Jubilatorio 3%</t>
  </si>
  <si>
    <t>Líquido menores 57-62</t>
  </si>
  <si>
    <t>Aumento mensual Menores</t>
  </si>
  <si>
    <t>Aum porcentual Menores</t>
  </si>
  <si>
    <t>Aum Acum Anual Menores</t>
  </si>
  <si>
    <t>Porcentual Anual Menores</t>
  </si>
  <si>
    <t xml:space="preserve">Líquido </t>
  </si>
  <si>
    <t>Sueldo básico</t>
  </si>
  <si>
    <t>Dec 1266/08 Art 4º</t>
  </si>
  <si>
    <t>424/428</t>
  </si>
  <si>
    <t>Adic directivos</t>
  </si>
  <si>
    <t>Adicional Nina</t>
  </si>
  <si>
    <t>Función diferencial</t>
  </si>
  <si>
    <t>Antigüedad</t>
  </si>
  <si>
    <t>Bon zona esc</t>
  </si>
  <si>
    <t>prolong. Jorn - Docente</t>
  </si>
  <si>
    <t>Dto. 1109/05 (cod 06 act)</t>
  </si>
  <si>
    <t>Traslado cod 188</t>
  </si>
  <si>
    <t>DTO. N1462/18 DOCENT</t>
  </si>
  <si>
    <t>Otros</t>
  </si>
  <si>
    <t>Haberes</t>
  </si>
  <si>
    <t>Federación de  jubil</t>
  </si>
  <si>
    <t>Aporte IOSPER</t>
  </si>
  <si>
    <t>Seguro ley 3011</t>
  </si>
  <si>
    <t>Serv Sepelio IAPS</t>
  </si>
  <si>
    <t>Desc AGMER 1 %</t>
  </si>
  <si>
    <t>Otros descuentos</t>
  </si>
  <si>
    <t>Descuentos</t>
  </si>
  <si>
    <t>Líquido</t>
  </si>
  <si>
    <t>Aumento mensual</t>
  </si>
  <si>
    <t>Aum porcentual</t>
  </si>
  <si>
    <t>Aumento acumulado anual</t>
  </si>
  <si>
    <t>Acumulado porcentual</t>
  </si>
  <si>
    <t>MEDIO AGUINALDO</t>
  </si>
  <si>
    <t>Código 550</t>
  </si>
  <si>
    <t>Total Descuentos</t>
  </si>
  <si>
    <t>Jubilado - HORAS DE NIVEL MEDIO</t>
  </si>
  <si>
    <t>Jubilado/a</t>
  </si>
  <si>
    <t>Número de horas</t>
  </si>
  <si>
    <t>Jubilado solo horas? Lee comentario</t>
  </si>
  <si>
    <t>100%: Si ; 0%: No</t>
  </si>
  <si>
    <t>Líquido Menores</t>
  </si>
  <si>
    <t>Dto. 1109/05(cod06act)</t>
  </si>
  <si>
    <t>Adic hs media (Cod 18 en activos)</t>
  </si>
  <si>
    <t>Adic Dec 173/21 (cod 38 activos)</t>
  </si>
  <si>
    <t>Federació de  jubil</t>
  </si>
  <si>
    <t>Jubilado - HORAS DE NIVEL Superior</t>
  </si>
  <si>
    <t>Porc Aum acumulado anual</t>
  </si>
  <si>
    <t>Autor</t>
  </si>
  <si>
    <t>Víctor Hugo Hutt</t>
  </si>
  <si>
    <t>AGMER Seccional Uruguay</t>
  </si>
  <si>
    <t>huttvictor@gmail.com</t>
  </si>
  <si>
    <t>www.agmeruruguay.com.ar</t>
  </si>
  <si>
    <t>cod06dic25</t>
  </si>
  <si>
    <t>indicemay26</t>
  </si>
  <si>
    <t>Indiceproljormay26</t>
  </si>
  <si>
    <t>MONTO EN NEGRO</t>
  </si>
  <si>
    <t>Aumento ilegal en negro</t>
  </si>
  <si>
    <r>
      <t xml:space="preserve">Salario docente jubilado Entre Ríos </t>
    </r>
    <r>
      <rPr>
        <b/>
        <u/>
        <sz val="18"/>
        <color indexed="18"/>
        <rFont val="Arial"/>
        <family val="2"/>
      </rPr>
      <t xml:space="preserve"> (2026)</t>
    </r>
  </si>
  <si>
    <t>indicejul26</t>
  </si>
  <si>
    <t>Indiceproljorjul26</t>
  </si>
  <si>
    <t>indicesep26</t>
  </si>
  <si>
    <t>Indiceproljorsep26</t>
  </si>
  <si>
    <t>aumentomayo26</t>
  </si>
  <si>
    <t>aumentojulio26</t>
  </si>
  <si>
    <t>aumentoseptiembre26</t>
  </si>
  <si>
    <t>Es de Junio 26</t>
  </si>
  <si>
    <r>
      <t xml:space="preserve">Diciembre 25 hasta junio 26 </t>
    </r>
    <r>
      <rPr>
        <sz val="11"/>
        <color theme="1"/>
        <rFont val="Arial"/>
        <family val="2"/>
      </rPr>
      <t>(porque no hubo recupero en enero)</t>
    </r>
  </si>
  <si>
    <t>Sueldo Julio respecto a CBT Junio</t>
  </si>
  <si>
    <t>% CBT Junio</t>
  </si>
  <si>
    <t>% CBT Mayo</t>
  </si>
  <si>
    <t>Movilidad con reforma</t>
  </si>
  <si>
    <t>NEP</t>
  </si>
  <si>
    <t>Adicional NEP</t>
  </si>
  <si>
    <t>NEP?</t>
  </si>
  <si>
    <t>Se agregó Código NEP</t>
  </si>
  <si>
    <t>Reforma</t>
  </si>
  <si>
    <t>% CBT Abril</t>
  </si>
  <si>
    <t>Descu.</t>
  </si>
  <si>
    <t>La reforma te quita:</t>
  </si>
  <si>
    <r>
      <t xml:space="preserve">Desde Dic 25 a </t>
    </r>
    <r>
      <rPr>
        <b/>
        <sz val="22"/>
        <rFont val="Arial"/>
        <family val="2"/>
      </rPr>
      <t>Diciembre</t>
    </r>
    <r>
      <rPr>
        <b/>
        <sz val="18"/>
        <rFont val="Arial"/>
        <family val="2"/>
      </rPr>
      <t xml:space="preserve"> 2026</t>
    </r>
  </si>
  <si>
    <t>De acuerdo a anuncios de prensa</t>
  </si>
  <si>
    <t>aumentonoviembre26</t>
  </si>
  <si>
    <t>aumentodiciembre26</t>
  </si>
  <si>
    <t>indicenov26</t>
  </si>
  <si>
    <t>Indiceproljornov26</t>
  </si>
  <si>
    <t>indicedic26</t>
  </si>
  <si>
    <t>Indiceproljordic26</t>
  </si>
  <si>
    <t>Actualizado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</si>
</sst>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\ #,##0;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_ &quot;$&quot;\ * #,##0.00_ ;_ &quot;$&quot;\ * \-#,##0.00_ ;_ &quot;$&quot;\ * &quot;-&quot;??_ ;_ @_ "/>
    <numFmt numFmtId="166" formatCode="_-&quot;$&quot;\ * #,##0_-;\-&quot;$&quot;\ * #,##0_-;_-&quot;$&quot;\ * &quot;-&quot;??_-;_-@_-"/>
    <numFmt numFmtId="167" formatCode="0.0%"/>
    <numFmt numFmtId="168" formatCode="0.0000"/>
    <numFmt numFmtId="169" formatCode="0.00000"/>
    <numFmt numFmtId="170" formatCode="#,##0_ ;\-#,##0\ "/>
    <numFmt numFmtId="171" formatCode="#,##0.00\ _€"/>
    <numFmt numFmtId="172" formatCode="0.000%"/>
    <numFmt numFmtId="173" formatCode="0.000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8"/>
      <color theme="3"/>
      <name val="Arial"/>
      <family val="2"/>
    </font>
    <font>
      <sz val="10"/>
      <name val="Arial"/>
      <family val="2"/>
    </font>
    <font>
      <b/>
      <sz val="18"/>
      <color rgb="FFFF0000"/>
      <name val="Arial"/>
      <family val="2"/>
    </font>
    <font>
      <b/>
      <sz val="26"/>
      <color indexed="56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b/>
      <u/>
      <sz val="18"/>
      <color theme="4" tint="-0.499984740745262"/>
      <name val="Arial"/>
      <family val="2"/>
    </font>
    <font>
      <b/>
      <u/>
      <sz val="18"/>
      <color indexed="18"/>
      <name val="Arial"/>
      <family val="2"/>
    </font>
    <font>
      <b/>
      <sz val="20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8" tint="0.59999389629810485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  <font>
      <sz val="12"/>
      <color theme="0"/>
      <name val="Arial"/>
      <family val="2"/>
    </font>
    <font>
      <sz val="12"/>
      <color rgb="FF0000FF"/>
      <name val="Arial"/>
      <family val="2"/>
    </font>
    <font>
      <b/>
      <sz val="14"/>
      <color rgb="FFFF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sz val="12"/>
      <name val="Arial"/>
      <family val="2"/>
    </font>
    <font>
      <b/>
      <sz val="16"/>
      <color theme="4" tint="-0.499984740745262"/>
      <name val="Arial"/>
      <family val="2"/>
    </font>
    <font>
      <sz val="14"/>
      <name val="Arial"/>
      <family val="2"/>
    </font>
    <font>
      <b/>
      <u/>
      <sz val="12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sz val="11"/>
      <color indexed="17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theme="1"/>
      <name val="Calibri"/>
      <family val="2"/>
      <scheme val="minor"/>
    </font>
    <font>
      <b/>
      <u/>
      <sz val="20"/>
      <color indexed="12"/>
      <name val="Arial"/>
      <family val="2"/>
    </font>
    <font>
      <b/>
      <u/>
      <sz val="16"/>
      <color indexed="12"/>
      <name val="Arial"/>
      <family val="2"/>
    </font>
    <font>
      <b/>
      <sz val="20"/>
      <color indexed="10"/>
      <name val="Arial"/>
      <family val="2"/>
    </font>
    <font>
      <b/>
      <sz val="14"/>
      <name val="Arial"/>
      <family val="2"/>
    </font>
    <font>
      <b/>
      <sz val="14"/>
      <color indexed="18"/>
      <name val="Arial"/>
      <family val="2"/>
    </font>
    <font>
      <sz val="12"/>
      <color indexed="18"/>
      <name val="Arial"/>
      <family val="2"/>
    </font>
    <font>
      <sz val="12"/>
      <color indexed="52"/>
      <name val="Arial"/>
      <family val="2"/>
    </font>
    <font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14"/>
      <color indexed="1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8"/>
      <color rgb="FF0000CC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6"/>
      <color indexed="8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b/>
      <sz val="16"/>
      <color theme="9" tint="-0.249977111117893"/>
      <name val="Arial"/>
      <family val="2"/>
    </font>
    <font>
      <b/>
      <u/>
      <sz val="12"/>
      <name val="Arial"/>
      <family val="2"/>
    </font>
    <font>
      <b/>
      <u/>
      <sz val="16"/>
      <color indexed="8"/>
      <name val="Arial"/>
      <family val="2"/>
    </font>
    <font>
      <b/>
      <u/>
      <sz val="16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14"/>
      <color indexed="8"/>
      <name val="Arial"/>
      <family val="2"/>
    </font>
    <font>
      <sz val="12"/>
      <color rgb="FFFF0000"/>
      <name val="Arial"/>
      <family val="2"/>
    </font>
    <font>
      <sz val="12"/>
      <color theme="0" tint="-0.14999847407452621"/>
      <name val="Arial"/>
      <family val="2"/>
    </font>
    <font>
      <b/>
      <sz val="20"/>
      <color indexed="8"/>
      <name val="Arial"/>
      <family val="2"/>
    </font>
    <font>
      <sz val="20"/>
      <name val="Arial"/>
      <family val="2"/>
    </font>
    <font>
      <b/>
      <sz val="12"/>
      <color indexed="9"/>
      <name val="Arial"/>
      <family val="2"/>
    </font>
    <font>
      <b/>
      <u/>
      <sz val="12"/>
      <color theme="1"/>
      <name val="Arial"/>
      <family val="2"/>
    </font>
    <font>
      <u/>
      <sz val="12"/>
      <color indexed="9"/>
      <name val="Arial"/>
      <family val="2"/>
    </font>
    <font>
      <sz val="12"/>
      <color indexed="9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  <scheme val="minor"/>
    </font>
    <font>
      <b/>
      <sz val="22"/>
      <name val="Arial"/>
      <family val="2"/>
    </font>
    <font>
      <b/>
      <sz val="18"/>
      <color theme="0"/>
      <name val="Arial"/>
      <family val="2"/>
    </font>
    <font>
      <b/>
      <sz val="18"/>
      <color rgb="FFFFFF00"/>
      <name val="Arial"/>
      <family val="2"/>
    </font>
    <font>
      <b/>
      <sz val="14"/>
      <color theme="1" tint="4.9989318521683403E-2"/>
      <name val="Arial"/>
      <family val="2"/>
    </font>
    <font>
      <b/>
      <sz val="24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18"/>
      <color rgb="FF00206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9FF99"/>
      </patternFill>
    </fill>
    <fill>
      <patternFill patternType="solid">
        <fgColor rgb="FFFF0000"/>
        <bgColor rgb="FF99FF99"/>
      </patternFill>
    </fill>
    <fill>
      <patternFill patternType="solid">
        <fgColor rgb="FFCC0000"/>
        <bgColor indexed="64"/>
      </patternFill>
    </fill>
    <fill>
      <patternFill patternType="solid">
        <fgColor rgb="FFCC0000"/>
        <bgColor rgb="FF99FF99"/>
      </patternFill>
    </fill>
    <fill>
      <patternFill patternType="solid">
        <fgColor rgb="FFFF99FF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8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52"/>
      </left>
      <right style="thick">
        <color indexed="51"/>
      </right>
      <top style="thick">
        <color indexed="52"/>
      </top>
      <bottom style="thick">
        <color indexed="5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thick">
        <color indexed="51"/>
      </left>
      <right/>
      <top style="thick">
        <color indexed="52"/>
      </top>
      <bottom style="thick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8" tint="-0.24994659260841701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double">
        <color rgb="FF00B050"/>
      </left>
      <right style="thin">
        <color rgb="FF00B050"/>
      </right>
      <top/>
      <bottom style="double">
        <color rgb="FF00B050"/>
      </bottom>
      <diagonal/>
    </border>
    <border>
      <left style="thin">
        <color rgb="FF00B050"/>
      </left>
      <right style="double">
        <color rgb="FF00B050"/>
      </right>
      <top/>
      <bottom style="double">
        <color rgb="FF00B05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theme="5" tint="-0.24994659260841701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rgb="FF00B050"/>
      </left>
      <right style="medium">
        <color theme="8" tint="-0.24994659260841701"/>
      </right>
      <top style="thick">
        <color rgb="FF00B050"/>
      </top>
      <bottom/>
      <diagonal/>
    </border>
    <border>
      <left style="thin">
        <color indexed="64"/>
      </left>
      <right style="thick">
        <color rgb="FF00B050"/>
      </right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 style="thick">
        <color rgb="FF00B050"/>
      </left>
      <right style="medium">
        <color theme="8" tint="-0.24994659260841701"/>
      </right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ck">
        <color theme="9" tint="-0.24994659260841701"/>
      </top>
      <bottom/>
      <diagonal/>
    </border>
    <border>
      <left style="thin">
        <color indexed="64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thick">
        <color theme="9" tint="-0.24994659260841701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thick">
        <color theme="9" tint="-0.24994659260841701"/>
      </bottom>
      <diagonal/>
    </border>
    <border>
      <left/>
      <right/>
      <top style="medium">
        <color indexed="64"/>
      </top>
      <bottom style="thick">
        <color theme="9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/>
      <diagonal/>
    </border>
    <border>
      <left style="double">
        <color rgb="FF00B050"/>
      </left>
      <right style="thin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theme="8" tint="-0.2499465926084170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thick">
        <color indexed="39"/>
      </left>
      <right/>
      <top style="thick">
        <color indexed="39"/>
      </top>
      <bottom/>
      <diagonal/>
    </border>
    <border>
      <left/>
      <right/>
      <top style="thick">
        <color indexed="39"/>
      </top>
      <bottom/>
      <diagonal/>
    </border>
    <border>
      <left/>
      <right style="medium">
        <color theme="8" tint="-0.24994659260841701"/>
      </right>
      <top style="thick">
        <color indexed="12"/>
      </top>
      <bottom/>
      <diagonal/>
    </border>
    <border>
      <left style="thick">
        <color indexed="39"/>
      </left>
      <right/>
      <top/>
      <bottom/>
      <diagonal/>
    </border>
    <border>
      <left style="thick">
        <color indexed="39"/>
      </left>
      <right/>
      <top/>
      <bottom style="thick">
        <color indexed="39"/>
      </bottom>
      <diagonal/>
    </border>
    <border>
      <left/>
      <right/>
      <top/>
      <bottom style="thick">
        <color indexed="39"/>
      </bottom>
      <diagonal/>
    </border>
    <border>
      <left/>
      <right style="medium">
        <color theme="8" tint="-0.24994659260841701"/>
      </right>
      <top/>
      <bottom style="thick">
        <color indexed="39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rgb="FF00B050"/>
      </top>
      <bottom style="double">
        <color rgb="FF00B050"/>
      </bottom>
      <diagonal/>
    </border>
    <border>
      <left style="thin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/>
      <right/>
      <top/>
      <bottom style="double">
        <color rgb="FF00B050"/>
      </bottom>
      <diagonal/>
    </border>
    <border>
      <left/>
      <right/>
      <top style="thick">
        <color indexed="17"/>
      </top>
      <bottom/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64"/>
      </left>
      <right style="medium">
        <color theme="8" tint="-0.24994659260841701"/>
      </right>
      <top/>
      <bottom style="medium">
        <color indexed="64"/>
      </bottom>
      <diagonal/>
    </border>
    <border>
      <left style="thick">
        <color theme="8" tint="-0.24994659260841701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49" fillId="0" borderId="0" applyFont="0" applyFill="0" applyBorder="0" applyAlignment="0" applyProtection="0"/>
  </cellStyleXfs>
  <cellXfs count="656">
    <xf numFmtId="0" fontId="0" fillId="0" borderId="0" xfId="0"/>
    <xf numFmtId="0" fontId="4" fillId="0" borderId="1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5" borderId="1" xfId="0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horizontal="right"/>
    </xf>
    <xf numFmtId="0" fontId="9" fillId="4" borderId="1" xfId="0" applyFont="1" applyFill="1" applyBorder="1" applyAlignment="1">
      <alignment horizontal="center" vertical="center" wrapText="1" shrinkToFit="1"/>
    </xf>
    <xf numFmtId="2" fontId="9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4" fillId="2" borderId="1" xfId="0" applyFont="1" applyFill="1" applyBorder="1"/>
    <xf numFmtId="0" fontId="7" fillId="0" borderId="1" xfId="0" applyFont="1" applyBorder="1" applyAlignment="1">
      <alignment horizontal="left"/>
    </xf>
    <xf numFmtId="0" fontId="8" fillId="3" borderId="1" xfId="0" applyFont="1" applyFill="1" applyBorder="1"/>
    <xf numFmtId="0" fontId="10" fillId="0" borderId="1" xfId="0" applyFont="1" applyBorder="1" applyAlignment="1">
      <alignment vertical="center" wrapText="1"/>
    </xf>
    <xf numFmtId="0" fontId="14" fillId="0" borderId="0" xfId="0" applyFont="1" applyProtection="1">
      <protection locked="0"/>
    </xf>
    <xf numFmtId="0" fontId="14" fillId="0" borderId="0" xfId="0" applyFont="1"/>
    <xf numFmtId="17" fontId="15" fillId="6" borderId="0" xfId="0" applyNumberFormat="1" applyFont="1" applyFill="1" applyAlignment="1">
      <alignment horizontal="center"/>
    </xf>
    <xf numFmtId="10" fontId="15" fillId="6" borderId="0" xfId="3" applyNumberFormat="1" applyFont="1" applyFill="1" applyAlignment="1">
      <alignment horizontal="center"/>
    </xf>
    <xf numFmtId="0" fontId="0" fillId="0" borderId="0" xfId="0" applyProtection="1">
      <protection locked="0"/>
    </xf>
    <xf numFmtId="0" fontId="0" fillId="7" borderId="0" xfId="0" applyFill="1"/>
    <xf numFmtId="0" fontId="0" fillId="7" borderId="3" xfId="0" applyFill="1" applyBorder="1"/>
    <xf numFmtId="0" fontId="18" fillId="0" borderId="0" xfId="0" applyFont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21" fillId="0" borderId="4" xfId="0" applyFont="1" applyBorder="1" applyAlignment="1">
      <alignment horizontal="left" vertical="center" indent="1"/>
    </xf>
    <xf numFmtId="2" fontId="23" fillId="8" borderId="0" xfId="0" applyNumberFormat="1" applyFont="1" applyFill="1" applyAlignment="1">
      <alignment vertical="center"/>
    </xf>
    <xf numFmtId="0" fontId="0" fillId="8" borderId="0" xfId="0" applyFill="1"/>
    <xf numFmtId="0" fontId="24" fillId="8" borderId="3" xfId="0" applyFont="1" applyFill="1" applyBorder="1"/>
    <xf numFmtId="2" fontId="25" fillId="9" borderId="0" xfId="0" applyNumberFormat="1" applyFont="1" applyFill="1" applyAlignment="1">
      <alignment vertical="center"/>
    </xf>
    <xf numFmtId="0" fontId="16" fillId="0" borderId="0" xfId="0" applyFont="1"/>
    <xf numFmtId="2" fontId="26" fillId="10" borderId="0" xfId="0" applyNumberFormat="1" applyFont="1" applyFill="1" applyAlignment="1" applyProtection="1">
      <alignment vertical="center"/>
      <protection locked="0"/>
    </xf>
    <xf numFmtId="2" fontId="27" fillId="10" borderId="0" xfId="0" applyNumberFormat="1" applyFont="1" applyFill="1" applyAlignment="1">
      <alignment vertical="center"/>
    </xf>
    <xf numFmtId="3" fontId="27" fillId="10" borderId="0" xfId="0" applyNumberFormat="1" applyFont="1" applyFill="1" applyAlignment="1">
      <alignment vertical="center"/>
    </xf>
    <xf numFmtId="166" fontId="28" fillId="10" borderId="0" xfId="2" applyNumberFormat="1" applyFont="1" applyFill="1" applyAlignment="1">
      <alignment vertical="center"/>
    </xf>
    <xf numFmtId="2" fontId="29" fillId="10" borderId="0" xfId="0" applyNumberFormat="1" applyFont="1" applyFill="1"/>
    <xf numFmtId="2" fontId="11" fillId="0" borderId="0" xfId="0" applyNumberFormat="1" applyFont="1"/>
    <xf numFmtId="2" fontId="31" fillId="11" borderId="0" xfId="0" applyNumberFormat="1" applyFont="1" applyFill="1" applyProtection="1">
      <protection locked="0"/>
    </xf>
    <xf numFmtId="166" fontId="17" fillId="11" borderId="0" xfId="2" applyNumberFormat="1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4" fillId="0" borderId="0" xfId="0" applyNumberFormat="1" applyFont="1"/>
    <xf numFmtId="9" fontId="31" fillId="0" borderId="0" xfId="3" applyFont="1" applyAlignment="1" applyProtection="1">
      <protection locked="0"/>
    </xf>
    <xf numFmtId="2" fontId="31" fillId="0" borderId="0" xfId="0" applyNumberFormat="1" applyFont="1"/>
    <xf numFmtId="2" fontId="25" fillId="0" borderId="0" xfId="0" applyNumberFormat="1" applyFont="1"/>
    <xf numFmtId="2" fontId="33" fillId="0" borderId="0" xfId="0" applyNumberFormat="1" applyFont="1"/>
    <xf numFmtId="2" fontId="34" fillId="10" borderId="0" xfId="0" applyNumberFormat="1" applyFont="1" applyFill="1"/>
    <xf numFmtId="167" fontId="35" fillId="10" borderId="0" xfId="3" applyNumberFormat="1" applyFont="1" applyFill="1" applyAlignment="1"/>
    <xf numFmtId="2" fontId="36" fillId="0" borderId="0" xfId="0" applyNumberFormat="1" applyFont="1"/>
    <xf numFmtId="2" fontId="33" fillId="12" borderId="0" xfId="0" applyNumberFormat="1" applyFont="1" applyFill="1"/>
    <xf numFmtId="2" fontId="32" fillId="12" borderId="0" xfId="0" applyNumberFormat="1" applyFont="1" applyFill="1"/>
    <xf numFmtId="2" fontId="4" fillId="0" borderId="0" xfId="0" applyNumberFormat="1" applyFont="1" applyProtection="1">
      <protection locked="0"/>
    </xf>
    <xf numFmtId="10" fontId="37" fillId="13" borderId="0" xfId="3" applyNumberFormat="1" applyFont="1" applyFill="1" applyAlignment="1"/>
    <xf numFmtId="167" fontId="38" fillId="13" borderId="0" xfId="3" applyNumberFormat="1" applyFont="1" applyFill="1" applyAlignment="1"/>
    <xf numFmtId="2" fontId="11" fillId="12" borderId="0" xfId="0" applyNumberFormat="1" applyFont="1" applyFill="1"/>
    <xf numFmtId="2" fontId="0" fillId="14" borderId="0" xfId="0" applyNumberFormat="1" applyFill="1"/>
    <xf numFmtId="2" fontId="39" fillId="14" borderId="0" xfId="0" applyNumberFormat="1" applyFont="1" applyFill="1" applyAlignment="1">
      <alignment horizontal="left"/>
    </xf>
    <xf numFmtId="0" fontId="0" fillId="14" borderId="3" xfId="0" applyFill="1" applyBorder="1"/>
    <xf numFmtId="0" fontId="0" fillId="14" borderId="0" xfId="0" applyFill="1"/>
    <xf numFmtId="2" fontId="25" fillId="5" borderId="0" xfId="0" applyNumberFormat="1" applyFont="1" applyFill="1"/>
    <xf numFmtId="167" fontId="40" fillId="5" borderId="0" xfId="3" applyNumberFormat="1" applyFont="1" applyFill="1" applyAlignment="1"/>
    <xf numFmtId="2" fontId="33" fillId="5" borderId="0" xfId="0" applyNumberFormat="1" applyFont="1" applyFill="1"/>
    <xf numFmtId="0" fontId="0" fillId="0" borderId="3" xfId="0" applyBorder="1"/>
    <xf numFmtId="2" fontId="0" fillId="0" borderId="0" xfId="0" applyNumberFormat="1" applyAlignment="1">
      <alignment horizontal="right"/>
    </xf>
    <xf numFmtId="2" fontId="14" fillId="0" borderId="0" xfId="0" applyNumberFormat="1" applyFont="1"/>
    <xf numFmtId="0" fontId="42" fillId="0" borderId="0" xfId="4" applyFont="1" applyFill="1" applyBorder="1" applyAlignment="1" applyProtection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2" fillId="0" borderId="0" xfId="4" applyFont="1" applyFill="1" applyAlignment="1" applyProtection="1"/>
    <xf numFmtId="0" fontId="46" fillId="0" borderId="0" xfId="0" applyFont="1"/>
    <xf numFmtId="0" fontId="47" fillId="0" borderId="0" xfId="0" applyFont="1" applyAlignment="1">
      <alignment horizontal="center" vertical="center"/>
    </xf>
    <xf numFmtId="0" fontId="0" fillId="15" borderId="0" xfId="0" applyFill="1"/>
    <xf numFmtId="169" fontId="0" fillId="0" borderId="0" xfId="0" applyNumberFormat="1"/>
    <xf numFmtId="165" fontId="16" fillId="0" borderId="1" xfId="0" applyNumberFormat="1" applyFont="1" applyBorder="1"/>
    <xf numFmtId="10" fontId="16" fillId="15" borderId="0" xfId="3" applyNumberFormat="1" applyFont="1" applyFill="1" applyProtection="1"/>
    <xf numFmtId="168" fontId="0" fillId="0" borderId="0" xfId="0" applyNumberFormat="1"/>
    <xf numFmtId="0" fontId="50" fillId="15" borderId="0" xfId="0" applyFont="1" applyFill="1"/>
    <xf numFmtId="10" fontId="0" fillId="0" borderId="0" xfId="0" applyNumberFormat="1"/>
    <xf numFmtId="0" fontId="51" fillId="0" borderId="0" xfId="0" applyFont="1"/>
    <xf numFmtId="17" fontId="14" fillId="0" borderId="0" xfId="0" applyNumberFormat="1" applyFont="1"/>
    <xf numFmtId="0" fontId="43" fillId="0" borderId="3" xfId="0" applyFont="1" applyBorder="1"/>
    <xf numFmtId="9" fontId="43" fillId="0" borderId="0" xfId="0" applyNumberFormat="1" applyFont="1"/>
    <xf numFmtId="0" fontId="45" fillId="0" borderId="0" xfId="0" applyFont="1" applyAlignment="1">
      <alignment horizontal="right" vertical="center" wrapText="1"/>
    </xf>
    <xf numFmtId="0" fontId="0" fillId="13" borderId="0" xfId="0" applyFill="1"/>
    <xf numFmtId="0" fontId="14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2" fillId="0" borderId="1" xfId="0" applyFont="1" applyBorder="1"/>
    <xf numFmtId="0" fontId="45" fillId="0" borderId="1" xfId="0" applyFont="1" applyBorder="1" applyProtection="1">
      <protection locked="0"/>
    </xf>
    <xf numFmtId="0" fontId="14" fillId="0" borderId="0" xfId="0" applyFont="1" applyAlignment="1">
      <alignment horizontal="center"/>
    </xf>
    <xf numFmtId="9" fontId="53" fillId="17" borderId="10" xfId="3" applyFont="1" applyFill="1" applyBorder="1" applyProtection="1"/>
    <xf numFmtId="2" fontId="54" fillId="0" borderId="1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1" fontId="14" fillId="0" borderId="9" xfId="0" applyNumberFormat="1" applyFont="1" applyBorder="1"/>
    <xf numFmtId="1" fontId="14" fillId="0" borderId="1" xfId="0" applyNumberFormat="1" applyFont="1" applyBorder="1"/>
    <xf numFmtId="9" fontId="53" fillId="17" borderId="12" xfId="3" applyFont="1" applyFill="1" applyBorder="1" applyProtection="1"/>
    <xf numFmtId="9" fontId="53" fillId="7" borderId="12" xfId="3" applyFont="1" applyFill="1" applyBorder="1" applyProtection="1"/>
    <xf numFmtId="9" fontId="53" fillId="7" borderId="13" xfId="3" applyFont="1" applyFill="1" applyBorder="1" applyProtection="1"/>
    <xf numFmtId="9" fontId="53" fillId="7" borderId="0" xfId="3" applyFont="1" applyFill="1" applyBorder="1" applyProtection="1"/>
    <xf numFmtId="2" fontId="54" fillId="0" borderId="0" xfId="0" applyNumberFormat="1" applyFont="1" applyAlignment="1">
      <alignment horizontal="center"/>
    </xf>
    <xf numFmtId="1" fontId="14" fillId="0" borderId="0" xfId="0" applyNumberFormat="1" applyFont="1"/>
    <xf numFmtId="1" fontId="55" fillId="0" borderId="3" xfId="0" applyNumberFormat="1" applyFont="1" applyBorder="1"/>
    <xf numFmtId="1" fontId="55" fillId="0" borderId="0" xfId="0" applyNumberFormat="1" applyFont="1"/>
    <xf numFmtId="0" fontId="19" fillId="13" borderId="0" xfId="0" applyFont="1" applyFill="1"/>
    <xf numFmtId="0" fontId="0" fillId="13" borderId="3" xfId="0" applyFill="1" applyBorder="1"/>
    <xf numFmtId="0" fontId="43" fillId="13" borderId="0" xfId="0" applyFont="1" applyFill="1"/>
    <xf numFmtId="0" fontId="14" fillId="0" borderId="3" xfId="0" applyFont="1" applyBorder="1"/>
    <xf numFmtId="0" fontId="50" fillId="0" borderId="0" xfId="0" applyFont="1"/>
    <xf numFmtId="0" fontId="43" fillId="18" borderId="0" xfId="0" applyFont="1" applyFill="1"/>
    <xf numFmtId="0" fontId="0" fillId="18" borderId="0" xfId="0" applyFill="1"/>
    <xf numFmtId="0" fontId="0" fillId="18" borderId="3" xfId="0" applyFill="1" applyBorder="1"/>
    <xf numFmtId="0" fontId="0" fillId="19" borderId="0" xfId="0" applyFill="1"/>
    <xf numFmtId="0" fontId="56" fillId="7" borderId="0" xfId="0" applyFont="1" applyFill="1"/>
    <xf numFmtId="0" fontId="0" fillId="20" borderId="0" xfId="0" applyFill="1"/>
    <xf numFmtId="0" fontId="57" fillId="7" borderId="0" xfId="0" applyFont="1" applyFill="1"/>
    <xf numFmtId="17" fontId="45" fillId="16" borderId="0" xfId="0" applyNumberFormat="1" applyFont="1" applyFill="1" applyAlignment="1">
      <alignment vertical="center" wrapText="1"/>
    </xf>
    <xf numFmtId="5" fontId="0" fillId="0" borderId="0" xfId="0" applyNumberFormat="1"/>
    <xf numFmtId="0" fontId="14" fillId="0" borderId="1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4" xfId="0" applyFont="1" applyBorder="1" applyAlignment="1">
      <alignment vertical="center"/>
    </xf>
    <xf numFmtId="0" fontId="14" fillId="0" borderId="15" xfId="0" applyFont="1" applyBorder="1"/>
    <xf numFmtId="0" fontId="43" fillId="0" borderId="1" xfId="0" applyFont="1" applyBorder="1"/>
    <xf numFmtId="0" fontId="39" fillId="0" borderId="1" xfId="0" applyFont="1" applyBorder="1"/>
    <xf numFmtId="0" fontId="39" fillId="0" borderId="0" xfId="0" applyFont="1"/>
    <xf numFmtId="0" fontId="45" fillId="16" borderId="0" xfId="0" applyFont="1" applyFill="1" applyAlignment="1">
      <alignment vertical="center" wrapText="1"/>
    </xf>
    <xf numFmtId="9" fontId="0" fillId="0" borderId="0" xfId="3" applyFont="1" applyBorder="1" applyProtection="1"/>
    <xf numFmtId="0" fontId="58" fillId="0" borderId="1" xfId="0" applyFont="1" applyBorder="1" applyProtection="1">
      <protection locked="0"/>
    </xf>
    <xf numFmtId="0" fontId="14" fillId="0" borderId="2" xfId="0" applyFont="1" applyBorder="1"/>
    <xf numFmtId="0" fontId="14" fillId="0" borderId="16" xfId="0" applyFont="1" applyBorder="1"/>
    <xf numFmtId="0" fontId="14" fillId="0" borderId="17" xfId="0" applyFont="1" applyBorder="1"/>
    <xf numFmtId="0" fontId="0" fillId="0" borderId="0" xfId="0" applyAlignment="1" applyProtection="1">
      <alignment vertical="center"/>
      <protection locked="0"/>
    </xf>
    <xf numFmtId="0" fontId="59" fillId="0" borderId="18" xfId="0" applyFont="1" applyBorder="1" applyAlignment="1">
      <alignment vertical="center"/>
    </xf>
    <xf numFmtId="0" fontId="39" fillId="0" borderId="19" xfId="0" applyFont="1" applyBorder="1" applyAlignment="1">
      <alignment vertical="center"/>
    </xf>
    <xf numFmtId="0" fontId="39" fillId="0" borderId="20" xfId="0" applyFont="1" applyBorder="1" applyAlignment="1">
      <alignment vertical="center"/>
    </xf>
    <xf numFmtId="0" fontId="39" fillId="0" borderId="21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0" fillId="0" borderId="0" xfId="0" applyAlignment="1">
      <alignment vertical="center"/>
    </xf>
    <xf numFmtId="17" fontId="39" fillId="0" borderId="0" xfId="0" applyNumberFormat="1" applyFont="1" applyAlignment="1">
      <alignment vertical="center"/>
    </xf>
    <xf numFmtId="170" fontId="39" fillId="0" borderId="0" xfId="0" applyNumberFormat="1" applyFont="1" applyAlignment="1">
      <alignment vertical="center"/>
    </xf>
    <xf numFmtId="0" fontId="14" fillId="21" borderId="22" xfId="0" applyFont="1" applyFill="1" applyBorder="1"/>
    <xf numFmtId="0" fontId="39" fillId="0" borderId="3" xfId="0" applyFont="1" applyBorder="1"/>
    <xf numFmtId="0" fontId="14" fillId="22" borderId="23" xfId="0" applyFont="1" applyFill="1" applyBorder="1" applyAlignment="1">
      <alignment horizontal="right"/>
    </xf>
    <xf numFmtId="9" fontId="54" fillId="23" borderId="24" xfId="0" applyNumberFormat="1" applyFont="1" applyFill="1" applyBorder="1" applyProtection="1">
      <protection locked="0"/>
    </xf>
    <xf numFmtId="0" fontId="61" fillId="24" borderId="19" xfId="0" applyFont="1" applyFill="1" applyBorder="1"/>
    <xf numFmtId="0" fontId="0" fillId="0" borderId="1" xfId="0" applyBorder="1" applyProtection="1">
      <protection locked="0"/>
    </xf>
    <xf numFmtId="10" fontId="16" fillId="0" borderId="1" xfId="0" applyNumberFormat="1" applyFont="1" applyBorder="1" applyProtection="1">
      <protection locked="0"/>
    </xf>
    <xf numFmtId="9" fontId="45" fillId="0" borderId="1" xfId="3" applyFont="1" applyFill="1" applyBorder="1" applyProtection="1">
      <protection locked="0"/>
    </xf>
    <xf numFmtId="0" fontId="60" fillId="24" borderId="3" xfId="0" applyFont="1" applyFill="1" applyBorder="1" applyProtection="1">
      <protection locked="0"/>
    </xf>
    <xf numFmtId="0" fontId="61" fillId="24" borderId="0" xfId="0" applyFont="1" applyFill="1"/>
    <xf numFmtId="9" fontId="54" fillId="24" borderId="0" xfId="0" applyNumberFormat="1" applyFont="1" applyFill="1" applyProtection="1">
      <protection locked="0"/>
    </xf>
    <xf numFmtId="17" fontId="45" fillId="0" borderId="1" xfId="0" applyNumberFormat="1" applyFont="1" applyBorder="1" applyAlignment="1" applyProtection="1">
      <alignment horizontal="right"/>
      <protection locked="0"/>
    </xf>
    <xf numFmtId="170" fontId="45" fillId="0" borderId="1" xfId="0" applyNumberFormat="1" applyFont="1" applyBorder="1" applyProtection="1">
      <protection locked="0"/>
    </xf>
    <xf numFmtId="10" fontId="45" fillId="0" borderId="1" xfId="0" applyNumberFormat="1" applyFont="1" applyBorder="1" applyProtection="1">
      <protection locked="0"/>
    </xf>
    <xf numFmtId="3" fontId="45" fillId="0" borderId="1" xfId="0" applyNumberFormat="1" applyFont="1" applyBorder="1" applyAlignment="1" applyProtection="1">
      <alignment horizontal="center"/>
      <protection locked="0"/>
    </xf>
    <xf numFmtId="167" fontId="45" fillId="0" borderId="1" xfId="3" applyNumberFormat="1" applyFont="1" applyFill="1" applyBorder="1" applyAlignment="1" applyProtection="1">
      <alignment horizontal="center"/>
      <protection locked="0"/>
    </xf>
    <xf numFmtId="0" fontId="39" fillId="0" borderId="0" xfId="0" applyFont="1" applyProtection="1">
      <protection locked="0"/>
    </xf>
    <xf numFmtId="0" fontId="62" fillId="18" borderId="0" xfId="0" applyFont="1" applyFill="1"/>
    <xf numFmtId="0" fontId="39" fillId="0" borderId="27" xfId="0" applyFont="1" applyBorder="1"/>
    <xf numFmtId="0" fontId="39" fillId="0" borderId="19" xfId="0" applyFont="1" applyBorder="1"/>
    <xf numFmtId="9" fontId="54" fillId="0" borderId="29" xfId="0" applyNumberFormat="1" applyFont="1" applyBorder="1" applyAlignment="1" applyProtection="1">
      <alignment horizontal="center"/>
      <protection locked="0"/>
    </xf>
    <xf numFmtId="0" fontId="42" fillId="7" borderId="0" xfId="0" applyFont="1" applyFill="1"/>
    <xf numFmtId="0" fontId="54" fillId="0" borderId="3" xfId="0" applyFont="1" applyBorder="1" applyAlignment="1" applyProtection="1">
      <alignment horizontal="center"/>
      <protection locked="0"/>
    </xf>
    <xf numFmtId="0" fontId="14" fillId="0" borderId="4" xfId="0" applyFont="1" applyBorder="1"/>
    <xf numFmtId="1" fontId="14" fillId="0" borderId="31" xfId="0" applyNumberFormat="1" applyFont="1" applyBorder="1"/>
    <xf numFmtId="43" fontId="39" fillId="0" borderId="0" xfId="1" applyFont="1" applyFill="1" applyProtection="1"/>
    <xf numFmtId="1" fontId="39" fillId="0" borderId="0" xfId="0" applyNumberFormat="1" applyFont="1" applyAlignment="1">
      <alignment horizontal="left"/>
    </xf>
    <xf numFmtId="1" fontId="14" fillId="0" borderId="3" xfId="0" applyNumberFormat="1" applyFont="1" applyBorder="1"/>
    <xf numFmtId="9" fontId="66" fillId="24" borderId="0" xfId="3" applyFont="1" applyFill="1" applyBorder="1" applyProtection="1">
      <protection locked="0"/>
    </xf>
    <xf numFmtId="2" fontId="67" fillId="0" borderId="32" xfId="0" applyNumberFormat="1" applyFont="1" applyBorder="1"/>
    <xf numFmtId="0" fontId="68" fillId="11" borderId="33" xfId="0" applyFont="1" applyFill="1" applyBorder="1" applyAlignment="1">
      <alignment horizontal="center" vertical="center"/>
    </xf>
    <xf numFmtId="165" fontId="69" fillId="0" borderId="34" xfId="0" applyNumberFormat="1" applyFont="1" applyBorder="1" applyAlignment="1">
      <alignment vertical="center"/>
    </xf>
    <xf numFmtId="4" fontId="70" fillId="25" borderId="35" xfId="5" applyNumberFormat="1" applyFont="1" applyFill="1" applyBorder="1" applyAlignment="1">
      <alignment horizontal="center"/>
    </xf>
    <xf numFmtId="0" fontId="68" fillId="11" borderId="0" xfId="0" applyFont="1" applyFill="1" applyAlignment="1">
      <alignment horizontal="center" vertical="center"/>
    </xf>
    <xf numFmtId="0" fontId="71" fillId="0" borderId="0" xfId="0" applyFont="1"/>
    <xf numFmtId="0" fontId="31" fillId="0" borderId="3" xfId="0" applyFont="1" applyBorder="1" applyProtection="1">
      <protection locked="0"/>
    </xf>
    <xf numFmtId="0" fontId="39" fillId="0" borderId="36" xfId="0" applyFont="1" applyBorder="1"/>
    <xf numFmtId="0" fontId="39" fillId="0" borderId="37" xfId="0" applyFont="1" applyBorder="1"/>
    <xf numFmtId="0" fontId="39" fillId="0" borderId="38" xfId="0" applyFont="1" applyBorder="1"/>
    <xf numFmtId="2" fontId="39" fillId="0" borderId="39" xfId="3" applyNumberFormat="1" applyFont="1" applyBorder="1" applyAlignment="1" applyProtection="1">
      <alignment horizontal="left"/>
    </xf>
    <xf numFmtId="0" fontId="39" fillId="20" borderId="40" xfId="0" applyFont="1" applyFill="1" applyBorder="1"/>
    <xf numFmtId="0" fontId="39" fillId="0" borderId="8" xfId="0" applyFont="1" applyBorder="1"/>
    <xf numFmtId="2" fontId="39" fillId="0" borderId="41" xfId="0" applyNumberFormat="1" applyFont="1" applyBorder="1" applyAlignment="1">
      <alignment horizontal="left"/>
    </xf>
    <xf numFmtId="0" fontId="39" fillId="20" borderId="28" xfId="0" applyFont="1" applyFill="1" applyBorder="1"/>
    <xf numFmtId="0" fontId="39" fillId="0" borderId="1" xfId="0" applyFont="1" applyBorder="1" applyAlignment="1">
      <alignment horizontal="right"/>
    </xf>
    <xf numFmtId="2" fontId="39" fillId="0" borderId="39" xfId="0" applyNumberFormat="1" applyFont="1" applyBorder="1" applyAlignment="1">
      <alignment horizontal="left"/>
    </xf>
    <xf numFmtId="0" fontId="39" fillId="0" borderId="43" xfId="0" applyFont="1" applyBorder="1" applyAlignment="1">
      <alignment horizontal="right"/>
    </xf>
    <xf numFmtId="49" fontId="39" fillId="0" borderId="44" xfId="0" applyNumberFormat="1" applyFont="1" applyBorder="1" applyAlignment="1">
      <alignment horizontal="left"/>
    </xf>
    <xf numFmtId="2" fontId="39" fillId="0" borderId="42" xfId="0" applyNumberFormat="1" applyFont="1" applyBorder="1" applyAlignment="1">
      <alignment horizontal="left"/>
    </xf>
    <xf numFmtId="0" fontId="39" fillId="0" borderId="45" xfId="0" applyFont="1" applyBorder="1"/>
    <xf numFmtId="0" fontId="39" fillId="0" borderId="9" xfId="0" applyFont="1" applyBorder="1"/>
    <xf numFmtId="0" fontId="72" fillId="0" borderId="8" xfId="0" applyFont="1" applyBorder="1"/>
    <xf numFmtId="0" fontId="39" fillId="0" borderId="46" xfId="0" applyFont="1" applyBorder="1"/>
    <xf numFmtId="0" fontId="39" fillId="0" borderId="17" xfId="0" applyFont="1" applyBorder="1"/>
    <xf numFmtId="0" fontId="73" fillId="0" borderId="3" xfId="0" applyFont="1" applyBorder="1"/>
    <xf numFmtId="2" fontId="72" fillId="0" borderId="47" xfId="0" applyNumberFormat="1" applyFont="1" applyBorder="1" applyAlignment="1">
      <alignment horizontal="left"/>
    </xf>
    <xf numFmtId="0" fontId="31" fillId="26" borderId="48" xfId="0" applyFont="1" applyFill="1" applyBorder="1" applyAlignment="1">
      <alignment horizontal="right"/>
    </xf>
    <xf numFmtId="0" fontId="71" fillId="26" borderId="48" xfId="0" applyFont="1" applyFill="1" applyBorder="1" applyAlignment="1" applyProtection="1">
      <alignment horizontal="center"/>
      <protection locked="0"/>
    </xf>
    <xf numFmtId="0" fontId="47" fillId="26" borderId="48" xfId="0" applyFont="1" applyFill="1" applyBorder="1"/>
    <xf numFmtId="4" fontId="31" fillId="26" borderId="48" xfId="0" applyNumberFormat="1" applyFont="1" applyFill="1" applyBorder="1" applyAlignment="1">
      <alignment horizontal="left"/>
    </xf>
    <xf numFmtId="0" fontId="73" fillId="20" borderId="48" xfId="0" applyFont="1" applyFill="1" applyBorder="1"/>
    <xf numFmtId="2" fontId="54" fillId="0" borderId="1" xfId="0" applyNumberFormat="1" applyFont="1" applyBorder="1" applyAlignment="1" applyProtection="1">
      <alignment horizontal="left"/>
      <protection locked="0"/>
    </xf>
    <xf numFmtId="0" fontId="39" fillId="20" borderId="1" xfId="0" applyFont="1" applyFill="1" applyBorder="1"/>
    <xf numFmtId="0" fontId="25" fillId="0" borderId="1" xfId="0" applyFont="1" applyBorder="1"/>
    <xf numFmtId="2" fontId="14" fillId="0" borderId="1" xfId="0" applyNumberFormat="1" applyFont="1" applyBorder="1" applyAlignment="1">
      <alignment horizontal="center"/>
    </xf>
    <xf numFmtId="10" fontId="39" fillId="0" borderId="1" xfId="3" applyNumberFormat="1" applyFont="1" applyBorder="1" applyProtection="1"/>
    <xf numFmtId="9" fontId="39" fillId="0" borderId="1" xfId="0" applyNumberFormat="1" applyFont="1" applyBorder="1"/>
    <xf numFmtId="2" fontId="39" fillId="0" borderId="1" xfId="0" applyNumberFormat="1" applyFont="1" applyBorder="1" applyAlignment="1">
      <alignment horizontal="right"/>
    </xf>
    <xf numFmtId="9" fontId="39" fillId="20" borderId="1" xfId="0" applyNumberFormat="1" applyFont="1" applyFill="1" applyBorder="1"/>
    <xf numFmtId="9" fontId="39" fillId="0" borderId="9" xfId="3" applyFont="1" applyFill="1" applyBorder="1" applyProtection="1"/>
    <xf numFmtId="2" fontId="39" fillId="0" borderId="41" xfId="0" applyNumberFormat="1" applyFont="1" applyBorder="1" applyAlignment="1">
      <alignment horizontal="right"/>
    </xf>
    <xf numFmtId="10" fontId="74" fillId="0" borderId="9" xfId="3" applyNumberFormat="1" applyFont="1" applyFill="1" applyBorder="1" applyProtection="1">
      <protection locked="0"/>
    </xf>
    <xf numFmtId="167" fontId="39" fillId="0" borderId="9" xfId="3" applyNumberFormat="1" applyFont="1" applyFill="1" applyBorder="1" applyProtection="1"/>
    <xf numFmtId="0" fontId="39" fillId="0" borderId="16" xfId="0" applyFont="1" applyBorder="1"/>
    <xf numFmtId="2" fontId="54" fillId="0" borderId="50" xfId="0" applyNumberFormat="1" applyFont="1" applyBorder="1" applyAlignment="1" applyProtection="1">
      <alignment horizontal="right"/>
      <protection locked="0"/>
    </xf>
    <xf numFmtId="0" fontId="39" fillId="20" borderId="25" xfId="0" applyFont="1" applyFill="1" applyBorder="1"/>
    <xf numFmtId="0" fontId="14" fillId="0" borderId="26" xfId="0" applyFont="1" applyBorder="1"/>
    <xf numFmtId="2" fontId="14" fillId="0" borderId="51" xfId="0" applyNumberFormat="1" applyFont="1" applyBorder="1" applyAlignment="1">
      <alignment horizontal="center"/>
    </xf>
    <xf numFmtId="0" fontId="14" fillId="20" borderId="19" xfId="0" applyFont="1" applyFill="1" applyBorder="1"/>
    <xf numFmtId="0" fontId="14" fillId="0" borderId="52" xfId="0" applyFont="1" applyBorder="1"/>
    <xf numFmtId="0" fontId="39" fillId="0" borderId="53" xfId="0" applyFont="1" applyBorder="1" applyProtection="1">
      <protection locked="0"/>
    </xf>
    <xf numFmtId="2" fontId="14" fillId="0" borderId="54" xfId="0" applyNumberFormat="1" applyFont="1" applyBorder="1" applyAlignment="1">
      <alignment horizontal="left"/>
    </xf>
    <xf numFmtId="0" fontId="39" fillId="20" borderId="49" xfId="0" applyFont="1" applyFill="1" applyBorder="1"/>
    <xf numFmtId="0" fontId="39" fillId="0" borderId="0" xfId="0" applyFont="1" applyAlignment="1">
      <alignment horizontal="right"/>
    </xf>
    <xf numFmtId="0" fontId="39" fillId="0" borderId="5" xfId="0" applyFont="1" applyBorder="1" applyAlignment="1">
      <alignment horizontal="right"/>
    </xf>
    <xf numFmtId="167" fontId="14" fillId="0" borderId="26" xfId="0" applyNumberFormat="1" applyFont="1" applyBorder="1"/>
    <xf numFmtId="4" fontId="75" fillId="0" borderId="51" xfId="0" applyNumberFormat="1" applyFont="1" applyBorder="1" applyAlignment="1">
      <alignment horizontal="center"/>
    </xf>
    <xf numFmtId="4" fontId="76" fillId="20" borderId="19" xfId="0" applyNumberFormat="1" applyFont="1" applyFill="1" applyBorder="1"/>
    <xf numFmtId="167" fontId="14" fillId="0" borderId="3" xfId="0" applyNumberFormat="1" applyFont="1" applyBorder="1" applyProtection="1">
      <protection locked="0"/>
    </xf>
    <xf numFmtId="167" fontId="71" fillId="0" borderId="3" xfId="0" applyNumberFormat="1" applyFont="1" applyBorder="1" applyProtection="1">
      <protection locked="0"/>
    </xf>
    <xf numFmtId="4" fontId="76" fillId="0" borderId="41" xfId="0" applyNumberFormat="1" applyFont="1" applyBorder="1" applyAlignment="1">
      <alignment horizontal="center"/>
    </xf>
    <xf numFmtId="4" fontId="77" fillId="0" borderId="49" xfId="0" applyNumberFormat="1" applyFont="1" applyBorder="1" applyAlignment="1" applyProtection="1">
      <alignment horizontal="center"/>
      <protection locked="0"/>
    </xf>
    <xf numFmtId="4" fontId="70" fillId="20" borderId="0" xfId="0" applyNumberFormat="1" applyFont="1" applyFill="1" applyProtection="1">
      <protection locked="0"/>
    </xf>
    <xf numFmtId="0" fontId="34" fillId="27" borderId="55" xfId="0" applyFont="1" applyFill="1" applyBorder="1"/>
    <xf numFmtId="4" fontId="78" fillId="27" borderId="56" xfId="0" applyNumberFormat="1" applyFont="1" applyFill="1" applyBorder="1"/>
    <xf numFmtId="4" fontId="78" fillId="20" borderId="57" xfId="0" applyNumberFormat="1" applyFont="1" applyFill="1" applyBorder="1"/>
    <xf numFmtId="10" fontId="39" fillId="0" borderId="0" xfId="3" applyNumberFormat="1" applyFont="1" applyFill="1" applyProtection="1"/>
    <xf numFmtId="0" fontId="34" fillId="27" borderId="58" xfId="0" applyFont="1" applyFill="1" applyBorder="1"/>
    <xf numFmtId="10" fontId="78" fillId="27" borderId="59" xfId="3" applyNumberFormat="1" applyFont="1" applyFill="1" applyBorder="1" applyProtection="1"/>
    <xf numFmtId="10" fontId="78" fillId="20" borderId="60" xfId="3" applyNumberFormat="1" applyFont="1" applyFill="1" applyBorder="1" applyProtection="1"/>
    <xf numFmtId="4" fontId="79" fillId="0" borderId="49" xfId="0" applyNumberFormat="1" applyFont="1" applyBorder="1"/>
    <xf numFmtId="4" fontId="79" fillId="20" borderId="0" xfId="0" applyNumberFormat="1" applyFont="1" applyFill="1"/>
    <xf numFmtId="0" fontId="34" fillId="28" borderId="48" xfId="0" applyFont="1" applyFill="1" applyBorder="1"/>
    <xf numFmtId="4" fontId="78" fillId="28" borderId="48" xfId="0" applyNumberFormat="1" applyFont="1" applyFill="1" applyBorder="1"/>
    <xf numFmtId="0" fontId="39" fillId="20" borderId="48" xfId="0" applyFont="1" applyFill="1" applyBorder="1"/>
    <xf numFmtId="10" fontId="78" fillId="28" borderId="59" xfId="3" applyNumberFormat="1" applyFont="1" applyFill="1" applyBorder="1" applyProtection="1"/>
    <xf numFmtId="0" fontId="34" fillId="29" borderId="55" xfId="0" applyFont="1" applyFill="1" applyBorder="1"/>
    <xf numFmtId="4" fontId="78" fillId="29" borderId="56" xfId="0" applyNumberFormat="1" applyFont="1" applyFill="1" applyBorder="1"/>
    <xf numFmtId="0" fontId="34" fillId="29" borderId="58" xfId="0" applyFont="1" applyFill="1" applyBorder="1"/>
    <xf numFmtId="167" fontId="78" fillId="29" borderId="59" xfId="3" applyNumberFormat="1" applyFont="1" applyFill="1" applyBorder="1" applyProtection="1"/>
    <xf numFmtId="0" fontId="34" fillId="0" borderId="3" xfId="0" applyFont="1" applyBorder="1"/>
    <xf numFmtId="10" fontId="34" fillId="0" borderId="49" xfId="3" applyNumberFormat="1" applyFont="1" applyFill="1" applyBorder="1" applyProtection="1"/>
    <xf numFmtId="0" fontId="34" fillId="20" borderId="0" xfId="0" applyFont="1" applyFill="1"/>
    <xf numFmtId="0" fontId="34" fillId="29" borderId="48" xfId="0" applyFont="1" applyFill="1" applyBorder="1"/>
    <xf numFmtId="0" fontId="34" fillId="20" borderId="48" xfId="0" applyFont="1" applyFill="1" applyBorder="1"/>
    <xf numFmtId="167" fontId="78" fillId="28" borderId="59" xfId="3" applyNumberFormat="1" applyFont="1" applyFill="1" applyBorder="1" applyProtection="1"/>
    <xf numFmtId="2" fontId="80" fillId="30" borderId="61" xfId="0" applyNumberFormat="1" applyFont="1" applyFill="1" applyBorder="1"/>
    <xf numFmtId="0" fontId="79" fillId="30" borderId="62" xfId="0" applyFont="1" applyFill="1" applyBorder="1" applyProtection="1">
      <protection locked="0"/>
    </xf>
    <xf numFmtId="2" fontId="80" fillId="20" borderId="63" xfId="0" applyNumberFormat="1" applyFont="1" applyFill="1" applyBorder="1"/>
    <xf numFmtId="2" fontId="39" fillId="0" borderId="64" xfId="0" applyNumberFormat="1" applyFont="1" applyBorder="1"/>
    <xf numFmtId="0" fontId="39" fillId="0" borderId="65" xfId="0" applyFont="1" applyBorder="1"/>
    <xf numFmtId="2" fontId="39" fillId="20" borderId="0" xfId="0" applyNumberFormat="1" applyFont="1" applyFill="1"/>
    <xf numFmtId="2" fontId="14" fillId="0" borderId="64" xfId="0" applyNumberFormat="1" applyFont="1" applyBorder="1"/>
    <xf numFmtId="2" fontId="14" fillId="0" borderId="65" xfId="0" applyNumberFormat="1" applyFont="1" applyBorder="1"/>
    <xf numFmtId="2" fontId="14" fillId="20" borderId="0" xfId="0" applyNumberFormat="1" applyFont="1" applyFill="1"/>
    <xf numFmtId="2" fontId="39" fillId="0" borderId="64" xfId="0" applyNumberFormat="1" applyFont="1" applyBorder="1" applyProtection="1">
      <protection locked="0"/>
    </xf>
    <xf numFmtId="9" fontId="39" fillId="0" borderId="66" xfId="0" applyNumberFormat="1" applyFont="1" applyBorder="1"/>
    <xf numFmtId="2" fontId="39" fillId="0" borderId="67" xfId="0" applyNumberFormat="1" applyFont="1" applyBorder="1" applyAlignment="1">
      <alignment horizontal="right"/>
    </xf>
    <xf numFmtId="9" fontId="39" fillId="20" borderId="68" xfId="0" applyNumberFormat="1" applyFont="1" applyFill="1" applyBorder="1"/>
    <xf numFmtId="0" fontId="39" fillId="0" borderId="69" xfId="0" applyFont="1" applyBorder="1"/>
    <xf numFmtId="0" fontId="39" fillId="20" borderId="68" xfId="0" applyFont="1" applyFill="1" applyBorder="1"/>
    <xf numFmtId="0" fontId="14" fillId="0" borderId="70" xfId="0" applyFont="1" applyBorder="1"/>
    <xf numFmtId="2" fontId="14" fillId="0" borderId="71" xfId="0" applyNumberFormat="1" applyFont="1" applyBorder="1" applyAlignment="1">
      <alignment horizontal="center"/>
    </xf>
    <xf numFmtId="0" fontId="39" fillId="0" borderId="64" xfId="0" applyFont="1" applyBorder="1"/>
    <xf numFmtId="4" fontId="14" fillId="0" borderId="65" xfId="0" applyNumberFormat="1" applyFont="1" applyBorder="1" applyAlignment="1">
      <alignment horizontal="left"/>
    </xf>
    <xf numFmtId="4" fontId="39" fillId="20" borderId="0" xfId="0" applyNumberFormat="1" applyFont="1" applyFill="1"/>
    <xf numFmtId="167" fontId="14" fillId="0" borderId="72" xfId="0" applyNumberFormat="1" applyFont="1" applyBorder="1"/>
    <xf numFmtId="4" fontId="77" fillId="0" borderId="73" xfId="0" applyNumberFormat="1" applyFont="1" applyBorder="1" applyAlignment="1">
      <alignment horizontal="center"/>
    </xf>
    <xf numFmtId="4" fontId="14" fillId="20" borderId="74" xfId="0" applyNumberFormat="1" applyFont="1" applyFill="1" applyBorder="1"/>
    <xf numFmtId="0" fontId="0" fillId="0" borderId="49" xfId="0" applyBorder="1" applyProtection="1">
      <protection locked="0"/>
    </xf>
    <xf numFmtId="43" fontId="39" fillId="20" borderId="0" xfId="1" applyFont="1" applyFill="1" applyProtection="1"/>
    <xf numFmtId="1" fontId="14" fillId="0" borderId="0" xfId="0" applyNumberFormat="1" applyFont="1" applyProtection="1">
      <protection locked="0"/>
    </xf>
    <xf numFmtId="0" fontId="39" fillId="0" borderId="48" xfId="0" applyFont="1" applyBorder="1"/>
    <xf numFmtId="0" fontId="68" fillId="11" borderId="48" xfId="0" applyFont="1" applyFill="1" applyBorder="1" applyAlignment="1">
      <alignment horizontal="center" vertical="center"/>
    </xf>
    <xf numFmtId="165" fontId="69" fillId="0" borderId="48" xfId="0" applyNumberFormat="1" applyFont="1" applyBorder="1" applyAlignment="1">
      <alignment vertical="center"/>
    </xf>
    <xf numFmtId="0" fontId="32" fillId="11" borderId="0" xfId="0" applyFont="1" applyFill="1" applyAlignment="1">
      <alignment horizontal="center" vertical="center"/>
    </xf>
    <xf numFmtId="2" fontId="0" fillId="0" borderId="48" xfId="0" applyNumberFormat="1" applyBorder="1"/>
    <xf numFmtId="0" fontId="71" fillId="0" borderId="48" xfId="0" applyFont="1" applyBorder="1"/>
    <xf numFmtId="0" fontId="31" fillId="0" borderId="48" xfId="0" applyFont="1" applyBorder="1" applyProtection="1">
      <protection locked="0"/>
    </xf>
    <xf numFmtId="2" fontId="39" fillId="0" borderId="48" xfId="0" applyNumberFormat="1" applyFont="1" applyBorder="1" applyAlignment="1">
      <alignment horizontal="left"/>
    </xf>
    <xf numFmtId="0" fontId="39" fillId="0" borderId="48" xfId="0" applyFont="1" applyBorder="1" applyAlignment="1">
      <alignment horizontal="right"/>
    </xf>
    <xf numFmtId="0" fontId="39" fillId="11" borderId="48" xfId="0" applyFont="1" applyFill="1" applyBorder="1" applyAlignment="1">
      <alignment horizontal="right"/>
    </xf>
    <xf numFmtId="49" fontId="39" fillId="11" borderId="48" xfId="0" applyNumberFormat="1" applyFont="1" applyFill="1" applyBorder="1" applyAlignment="1">
      <alignment horizontal="left"/>
    </xf>
    <xf numFmtId="2" fontId="39" fillId="11" borderId="48" xfId="0" applyNumberFormat="1" applyFont="1" applyFill="1" applyBorder="1" applyAlignment="1">
      <alignment horizontal="left"/>
    </xf>
    <xf numFmtId="49" fontId="39" fillId="20" borderId="48" xfId="0" applyNumberFormat="1" applyFont="1" applyFill="1" applyBorder="1" applyAlignment="1">
      <alignment horizontal="left"/>
    </xf>
    <xf numFmtId="0" fontId="72" fillId="0" borderId="48" xfId="0" applyFont="1" applyBorder="1"/>
    <xf numFmtId="0" fontId="72" fillId="20" borderId="48" xfId="0" applyFont="1" applyFill="1" applyBorder="1"/>
    <xf numFmtId="0" fontId="73" fillId="0" borderId="48" xfId="0" applyFont="1" applyBorder="1"/>
    <xf numFmtId="2" fontId="72" fillId="0" borderId="48" xfId="0" applyNumberFormat="1" applyFont="1" applyBorder="1" applyAlignment="1">
      <alignment horizontal="left"/>
    </xf>
    <xf numFmtId="0" fontId="39" fillId="26" borderId="48" xfId="0" applyFont="1" applyFill="1" applyBorder="1"/>
    <xf numFmtId="0" fontId="73" fillId="26" borderId="48" xfId="0" applyFont="1" applyFill="1" applyBorder="1"/>
    <xf numFmtId="2" fontId="31" fillId="26" borderId="48" xfId="0" applyNumberFormat="1" applyFont="1" applyFill="1" applyBorder="1" applyAlignment="1">
      <alignment horizontal="left"/>
    </xf>
    <xf numFmtId="0" fontId="31" fillId="20" borderId="48" xfId="0" applyFont="1" applyFill="1" applyBorder="1"/>
    <xf numFmtId="2" fontId="54" fillId="0" borderId="48" xfId="0" applyNumberFormat="1" applyFont="1" applyBorder="1" applyAlignment="1" applyProtection="1">
      <alignment horizontal="left"/>
      <protection locked="0"/>
    </xf>
    <xf numFmtId="0" fontId="25" fillId="0" borderId="48" xfId="0" applyFont="1" applyBorder="1"/>
    <xf numFmtId="2" fontId="81" fillId="0" borderId="48" xfId="0" applyNumberFormat="1" applyFont="1" applyBorder="1" applyAlignment="1">
      <alignment horizontal="center"/>
    </xf>
    <xf numFmtId="0" fontId="25" fillId="20" borderId="48" xfId="0" applyFont="1" applyFill="1" applyBorder="1"/>
    <xf numFmtId="10" fontId="39" fillId="0" borderId="48" xfId="3" applyNumberFormat="1" applyFont="1" applyBorder="1" applyProtection="1"/>
    <xf numFmtId="9" fontId="39" fillId="0" borderId="48" xfId="0" applyNumberFormat="1" applyFont="1" applyBorder="1"/>
    <xf numFmtId="2" fontId="39" fillId="0" borderId="48" xfId="0" applyNumberFormat="1" applyFont="1" applyBorder="1" applyAlignment="1">
      <alignment horizontal="right"/>
    </xf>
    <xf numFmtId="9" fontId="39" fillId="20" borderId="48" xfId="0" applyNumberFormat="1" applyFont="1" applyFill="1" applyBorder="1"/>
    <xf numFmtId="9" fontId="39" fillId="0" borderId="48" xfId="3" applyFont="1" applyFill="1" applyBorder="1" applyProtection="1"/>
    <xf numFmtId="10" fontId="74" fillId="0" borderId="48" xfId="3" applyNumberFormat="1" applyFont="1" applyFill="1" applyBorder="1" applyProtection="1">
      <protection locked="0"/>
    </xf>
    <xf numFmtId="167" fontId="39" fillId="0" borderId="48" xfId="3" applyNumberFormat="1" applyFont="1" applyFill="1" applyBorder="1" applyProtection="1"/>
    <xf numFmtId="2" fontId="54" fillId="0" borderId="48" xfId="0" applyNumberFormat="1" applyFont="1" applyBorder="1" applyAlignment="1" applyProtection="1">
      <alignment horizontal="right"/>
      <protection locked="0"/>
    </xf>
    <xf numFmtId="0" fontId="14" fillId="0" borderId="48" xfId="0" applyFont="1" applyBorder="1"/>
    <xf numFmtId="2" fontId="14" fillId="0" borderId="48" xfId="0" applyNumberFormat="1" applyFont="1" applyBorder="1" applyAlignment="1">
      <alignment horizontal="center"/>
    </xf>
    <xf numFmtId="0" fontId="14" fillId="20" borderId="48" xfId="0" applyFont="1" applyFill="1" applyBorder="1"/>
    <xf numFmtId="2" fontId="14" fillId="0" borderId="48" xfId="0" applyNumberFormat="1" applyFont="1" applyBorder="1" applyAlignment="1">
      <alignment horizontal="left"/>
    </xf>
    <xf numFmtId="167" fontId="14" fillId="0" borderId="48" xfId="0" applyNumberFormat="1" applyFont="1" applyBorder="1"/>
    <xf numFmtId="4" fontId="82" fillId="0" borderId="48" xfId="0" applyNumberFormat="1" applyFont="1" applyBorder="1" applyAlignment="1">
      <alignment horizontal="center"/>
    </xf>
    <xf numFmtId="4" fontId="83" fillId="20" borderId="48" xfId="0" applyNumberFormat="1" applyFont="1" applyFill="1" applyBorder="1"/>
    <xf numFmtId="4" fontId="51" fillId="0" borderId="48" xfId="0" applyNumberFormat="1" applyFont="1" applyBorder="1" applyAlignment="1" applyProtection="1">
      <alignment horizontal="right"/>
      <protection locked="0"/>
    </xf>
    <xf numFmtId="167" fontId="14" fillId="0" borderId="48" xfId="0" applyNumberFormat="1" applyFont="1" applyBorder="1" applyProtection="1">
      <protection locked="0"/>
    </xf>
    <xf numFmtId="4" fontId="77" fillId="0" borderId="48" xfId="0" applyNumberFormat="1" applyFont="1" applyBorder="1" applyAlignment="1" applyProtection="1">
      <alignment horizontal="center"/>
      <protection locked="0"/>
    </xf>
    <xf numFmtId="2" fontId="51" fillId="0" borderId="48" xfId="0" applyNumberFormat="1" applyFont="1" applyBorder="1" applyAlignment="1" applyProtection="1">
      <alignment horizontal="center"/>
      <protection locked="0"/>
    </xf>
    <xf numFmtId="167" fontId="14" fillId="20" borderId="48" xfId="0" applyNumberFormat="1" applyFont="1" applyFill="1" applyBorder="1" applyProtection="1">
      <protection locked="0"/>
    </xf>
    <xf numFmtId="0" fontId="39" fillId="0" borderId="48" xfId="0" applyFont="1" applyBorder="1" applyProtection="1">
      <protection locked="0"/>
    </xf>
    <xf numFmtId="0" fontId="34" fillId="27" borderId="48" xfId="0" applyFont="1" applyFill="1" applyBorder="1"/>
    <xf numFmtId="4" fontId="35" fillId="27" borderId="48" xfId="0" applyNumberFormat="1" applyFont="1" applyFill="1" applyBorder="1"/>
    <xf numFmtId="0" fontId="35" fillId="20" borderId="48" xfId="0" applyFont="1" applyFill="1" applyBorder="1"/>
    <xf numFmtId="10" fontId="39" fillId="0" borderId="48" xfId="3" applyNumberFormat="1" applyFont="1" applyFill="1" applyBorder="1" applyProtection="1"/>
    <xf numFmtId="10" fontId="35" fillId="27" borderId="48" xfId="3" applyNumberFormat="1" applyFont="1" applyFill="1" applyBorder="1" applyProtection="1"/>
    <xf numFmtId="4" fontId="35" fillId="28" borderId="48" xfId="0" applyNumberFormat="1" applyFont="1" applyFill="1" applyBorder="1"/>
    <xf numFmtId="10" fontId="35" fillId="28" borderId="48" xfId="3" applyNumberFormat="1" applyFont="1" applyFill="1" applyBorder="1" applyProtection="1"/>
    <xf numFmtId="4" fontId="35" fillId="29" borderId="48" xfId="0" applyNumberFormat="1" applyFont="1" applyFill="1" applyBorder="1"/>
    <xf numFmtId="4" fontId="35" fillId="20" borderId="48" xfId="0" applyNumberFormat="1" applyFont="1" applyFill="1" applyBorder="1"/>
    <xf numFmtId="10" fontId="35" fillId="29" borderId="48" xfId="3" applyNumberFormat="1" applyFont="1" applyFill="1" applyBorder="1" applyProtection="1"/>
    <xf numFmtId="0" fontId="34" fillId="0" borderId="48" xfId="0" applyFont="1" applyBorder="1"/>
    <xf numFmtId="10" fontId="34" fillId="0" borderId="48" xfId="3" applyNumberFormat="1" applyFont="1" applyFill="1" applyBorder="1" applyProtection="1"/>
    <xf numFmtId="4" fontId="34" fillId="20" borderId="48" xfId="0" applyNumberFormat="1" applyFont="1" applyFill="1" applyBorder="1"/>
    <xf numFmtId="0" fontId="0" fillId="0" borderId="48" xfId="0" applyBorder="1"/>
    <xf numFmtId="0" fontId="0" fillId="20" borderId="48" xfId="0" applyFill="1" applyBorder="1"/>
    <xf numFmtId="2" fontId="80" fillId="30" borderId="48" xfId="0" applyNumberFormat="1" applyFont="1" applyFill="1" applyBorder="1"/>
    <xf numFmtId="0" fontId="79" fillId="30" borderId="48" xfId="0" applyFont="1" applyFill="1" applyBorder="1" applyProtection="1">
      <protection locked="0"/>
    </xf>
    <xf numFmtId="2" fontId="80" fillId="20" borderId="48" xfId="0" applyNumberFormat="1" applyFont="1" applyFill="1" applyBorder="1"/>
    <xf numFmtId="2" fontId="39" fillId="0" borderId="48" xfId="0" applyNumberFormat="1" applyFont="1" applyBorder="1"/>
    <xf numFmtId="2" fontId="39" fillId="20" borderId="48" xfId="0" applyNumberFormat="1" applyFont="1" applyFill="1" applyBorder="1"/>
    <xf numFmtId="2" fontId="14" fillId="0" borderId="48" xfId="0" applyNumberFormat="1" applyFont="1" applyBorder="1"/>
    <xf numFmtId="2" fontId="14" fillId="20" borderId="48" xfId="0" applyNumberFormat="1" applyFont="1" applyFill="1" applyBorder="1"/>
    <xf numFmtId="2" fontId="77" fillId="0" borderId="48" xfId="0" applyNumberFormat="1" applyFont="1" applyBorder="1" applyAlignment="1">
      <alignment horizontal="center"/>
    </xf>
    <xf numFmtId="167" fontId="14" fillId="20" borderId="48" xfId="0" applyNumberFormat="1" applyFont="1" applyFill="1" applyBorder="1"/>
    <xf numFmtId="0" fontId="0" fillId="20" borderId="3" xfId="0" applyFill="1" applyBorder="1"/>
    <xf numFmtId="0" fontId="39" fillId="20" borderId="3" xfId="0" applyFont="1" applyFill="1" applyBorder="1"/>
    <xf numFmtId="0" fontId="62" fillId="31" borderId="0" xfId="0" applyFont="1" applyFill="1"/>
    <xf numFmtId="0" fontId="62" fillId="31" borderId="3" xfId="0" applyFont="1" applyFill="1" applyBorder="1"/>
    <xf numFmtId="0" fontId="39" fillId="20" borderId="0" xfId="0" applyFont="1" applyFill="1"/>
    <xf numFmtId="0" fontId="31" fillId="0" borderId="2" xfId="0" applyFont="1" applyBorder="1" applyProtection="1">
      <protection locked="0"/>
    </xf>
    <xf numFmtId="170" fontId="74" fillId="0" borderId="75" xfId="0" applyNumberFormat="1" applyFont="1" applyBorder="1" applyProtection="1">
      <protection locked="0"/>
    </xf>
    <xf numFmtId="0" fontId="0" fillId="0" borderId="76" xfId="0" applyBorder="1" applyProtection="1">
      <protection locked="0"/>
    </xf>
    <xf numFmtId="10" fontId="45" fillId="0" borderId="75" xfId="0" applyNumberFormat="1" applyFont="1" applyBorder="1" applyProtection="1">
      <protection locked="0"/>
    </xf>
    <xf numFmtId="0" fontId="39" fillId="0" borderId="49" xfId="0" applyFont="1" applyBorder="1"/>
    <xf numFmtId="0" fontId="54" fillId="0" borderId="77" xfId="0" applyFont="1" applyBorder="1" applyAlignment="1" applyProtection="1">
      <alignment horizontal="center"/>
      <protection locked="0"/>
    </xf>
    <xf numFmtId="0" fontId="39" fillId="0" borderId="49" xfId="0" applyFont="1" applyBorder="1" applyProtection="1">
      <protection locked="0"/>
    </xf>
    <xf numFmtId="0" fontId="54" fillId="20" borderId="0" xfId="0" applyFont="1" applyFill="1" applyAlignment="1" applyProtection="1">
      <alignment horizontal="center"/>
      <protection locked="0"/>
    </xf>
    <xf numFmtId="0" fontId="54" fillId="0" borderId="0" xfId="0" applyFont="1" applyAlignment="1" applyProtection="1">
      <alignment horizontal="center"/>
      <protection locked="0"/>
    </xf>
    <xf numFmtId="0" fontId="14" fillId="0" borderId="49" xfId="0" applyFont="1" applyBorder="1" applyProtection="1">
      <protection locked="0"/>
    </xf>
    <xf numFmtId="9" fontId="54" fillId="20" borderId="0" xfId="0" applyNumberFormat="1" applyFont="1" applyFill="1" applyAlignment="1" applyProtection="1">
      <alignment horizontal="center"/>
      <protection locked="0"/>
    </xf>
    <xf numFmtId="0" fontId="14" fillId="0" borderId="49" xfId="0" applyFont="1" applyBorder="1"/>
    <xf numFmtId="17" fontId="45" fillId="0" borderId="0" xfId="0" applyNumberFormat="1" applyFont="1" applyProtection="1">
      <protection locked="0"/>
    </xf>
    <xf numFmtId="170" fontId="45" fillId="0" borderId="0" xfId="0" applyNumberFormat="1" applyFont="1" applyProtection="1">
      <protection locked="0"/>
    </xf>
    <xf numFmtId="167" fontId="45" fillId="0" borderId="0" xfId="3" applyNumberFormat="1" applyFont="1" applyFill="1" applyBorder="1" applyAlignment="1" applyProtection="1">
      <alignment horizontal="center"/>
      <protection locked="0"/>
    </xf>
    <xf numFmtId="9" fontId="84" fillId="24" borderId="27" xfId="3" applyFont="1" applyFill="1" applyBorder="1" applyProtection="1">
      <protection locked="0"/>
    </xf>
    <xf numFmtId="9" fontId="54" fillId="24" borderId="26" xfId="0" applyNumberFormat="1" applyFont="1" applyFill="1" applyBorder="1" applyProtection="1">
      <protection locked="0"/>
    </xf>
    <xf numFmtId="9" fontId="54" fillId="20" borderId="0" xfId="0" applyNumberFormat="1" applyFont="1" applyFill="1" applyProtection="1">
      <protection locked="0"/>
    </xf>
    <xf numFmtId="0" fontId="85" fillId="24" borderId="0" xfId="0" applyFont="1" applyFill="1" applyProtection="1">
      <protection locked="0"/>
    </xf>
    <xf numFmtId="9" fontId="66" fillId="24" borderId="3" xfId="3" applyFont="1" applyFill="1" applyBorder="1" applyProtection="1">
      <protection locked="0"/>
    </xf>
    <xf numFmtId="9" fontId="84" fillId="24" borderId="0" xfId="3" applyFont="1" applyFill="1" applyBorder="1" applyProtection="1">
      <protection locked="0"/>
    </xf>
    <xf numFmtId="9" fontId="54" fillId="24" borderId="3" xfId="0" applyNumberFormat="1" applyFont="1" applyFill="1" applyBorder="1" applyProtection="1">
      <protection locked="0"/>
    </xf>
    <xf numFmtId="3" fontId="45" fillId="0" borderId="49" xfId="0" applyNumberFormat="1" applyFont="1" applyBorder="1" applyAlignment="1" applyProtection="1">
      <alignment horizontal="center"/>
      <protection locked="0"/>
    </xf>
    <xf numFmtId="9" fontId="54" fillId="20" borderId="0" xfId="3" applyFont="1" applyFill="1" applyBorder="1" applyProtection="1">
      <protection locked="0"/>
    </xf>
    <xf numFmtId="0" fontId="86" fillId="24" borderId="0" xfId="0" applyFont="1" applyFill="1" applyProtection="1">
      <protection locked="0"/>
    </xf>
    <xf numFmtId="9" fontId="54" fillId="24" borderId="0" xfId="3" applyFont="1" applyFill="1" applyBorder="1" applyProtection="1">
      <protection locked="0"/>
    </xf>
    <xf numFmtId="17" fontId="70" fillId="32" borderId="0" xfId="3" applyNumberFormat="1" applyFont="1" applyFill="1" applyBorder="1" applyAlignment="1" applyProtection="1">
      <alignment horizontal="center"/>
    </xf>
    <xf numFmtId="0" fontId="68" fillId="11" borderId="78" xfId="0" applyFont="1" applyFill="1" applyBorder="1" applyAlignment="1">
      <alignment horizontal="center" vertical="center"/>
    </xf>
    <xf numFmtId="165" fontId="69" fillId="0" borderId="79" xfId="0" applyNumberFormat="1" applyFont="1" applyBorder="1" applyAlignment="1">
      <alignment horizontal="center" vertical="center"/>
    </xf>
    <xf numFmtId="0" fontId="39" fillId="0" borderId="4" xfId="0" applyFont="1" applyBorder="1"/>
    <xf numFmtId="1" fontId="14" fillId="20" borderId="0" xfId="0" applyNumberFormat="1" applyFont="1" applyFill="1"/>
    <xf numFmtId="0" fontId="31" fillId="0" borderId="3" xfId="0" applyFont="1" applyBorder="1"/>
    <xf numFmtId="0" fontId="0" fillId="0" borderId="3" xfId="0" applyBorder="1" applyProtection="1">
      <protection locked="0"/>
    </xf>
    <xf numFmtId="0" fontId="0" fillId="0" borderId="49" xfId="0" applyBorder="1"/>
    <xf numFmtId="0" fontId="0" fillId="20" borderId="0" xfId="0" applyFill="1" applyProtection="1">
      <protection locked="0"/>
    </xf>
    <xf numFmtId="2" fontId="39" fillId="0" borderId="80" xfId="0" applyNumberFormat="1" applyFont="1" applyBorder="1" applyAlignment="1">
      <alignment horizontal="left"/>
    </xf>
    <xf numFmtId="2" fontId="39" fillId="0" borderId="81" xfId="0" applyNumberFormat="1" applyFont="1" applyBorder="1" applyAlignment="1">
      <alignment horizontal="left"/>
    </xf>
    <xf numFmtId="0" fontId="39" fillId="20" borderId="82" xfId="0" applyFont="1" applyFill="1" applyBorder="1"/>
    <xf numFmtId="0" fontId="39" fillId="0" borderId="1" xfId="0" applyFont="1" applyBorder="1" applyAlignment="1">
      <alignment horizontal="left"/>
    </xf>
    <xf numFmtId="2" fontId="39" fillId="0" borderId="9" xfId="0" applyNumberFormat="1" applyFont="1" applyBorder="1" applyAlignment="1">
      <alignment horizontal="left"/>
    </xf>
    <xf numFmtId="0" fontId="39" fillId="20" borderId="9" xfId="0" applyFont="1" applyFill="1" applyBorder="1" applyAlignment="1">
      <alignment horizontal="left"/>
    </xf>
    <xf numFmtId="0" fontId="73" fillId="0" borderId="1" xfId="0" applyFont="1" applyBorder="1"/>
    <xf numFmtId="0" fontId="73" fillId="20" borderId="9" xfId="0" applyFont="1" applyFill="1" applyBorder="1"/>
    <xf numFmtId="2" fontId="54" fillId="0" borderId="83" xfId="0" applyNumberFormat="1" applyFont="1" applyBorder="1" applyAlignment="1" applyProtection="1">
      <alignment horizontal="left"/>
      <protection locked="0"/>
    </xf>
    <xf numFmtId="0" fontId="39" fillId="20" borderId="30" xfId="0" applyFont="1" applyFill="1" applyBorder="1"/>
    <xf numFmtId="0" fontId="2" fillId="0" borderId="1" xfId="0" applyFont="1" applyBorder="1"/>
    <xf numFmtId="0" fontId="71" fillId="0" borderId="1" xfId="0" applyFont="1" applyBorder="1" applyProtection="1">
      <protection locked="0"/>
    </xf>
    <xf numFmtId="0" fontId="31" fillId="26" borderId="48" xfId="0" applyFont="1" applyFill="1" applyBorder="1" applyAlignment="1" applyProtection="1">
      <alignment horizontal="center"/>
      <protection locked="0"/>
    </xf>
    <xf numFmtId="4" fontId="14" fillId="0" borderId="1" xfId="0" applyNumberFormat="1" applyFont="1" applyBorder="1"/>
    <xf numFmtId="4" fontId="25" fillId="20" borderId="1" xfId="0" applyNumberFormat="1" applyFont="1" applyFill="1" applyBorder="1"/>
    <xf numFmtId="9" fontId="39" fillId="0" borderId="43" xfId="0" applyNumberFormat="1" applyFont="1" applyBorder="1"/>
    <xf numFmtId="2" fontId="39" fillId="0" borderId="84" xfId="0" applyNumberFormat="1" applyFont="1" applyBorder="1" applyAlignment="1">
      <alignment horizontal="right"/>
    </xf>
    <xf numFmtId="9" fontId="39" fillId="0" borderId="1" xfId="3" applyFont="1" applyFill="1" applyBorder="1" applyProtection="1"/>
    <xf numFmtId="2" fontId="39" fillId="0" borderId="81" xfId="0" applyNumberFormat="1" applyFont="1" applyBorder="1" applyAlignment="1">
      <alignment horizontal="right"/>
    </xf>
    <xf numFmtId="10" fontId="74" fillId="0" borderId="1" xfId="3" applyNumberFormat="1" applyFont="1" applyFill="1" applyBorder="1" applyProtection="1">
      <protection locked="0"/>
    </xf>
    <xf numFmtId="167" fontId="39" fillId="0" borderId="1" xfId="3" applyNumberFormat="1" applyFont="1" applyFill="1" applyBorder="1" applyProtection="1"/>
    <xf numFmtId="0" fontId="39" fillId="0" borderId="2" xfId="0" applyFont="1" applyBorder="1"/>
    <xf numFmtId="0" fontId="39" fillId="0" borderId="76" xfId="0" applyFont="1" applyBorder="1"/>
    <xf numFmtId="0" fontId="39" fillId="0" borderId="6" xfId="0" applyFont="1" applyBorder="1"/>
    <xf numFmtId="171" fontId="54" fillId="0" borderId="83" xfId="2" applyNumberFormat="1" applyFont="1" applyBorder="1" applyAlignment="1" applyProtection="1">
      <alignment horizontal="right"/>
      <protection locked="0"/>
    </xf>
    <xf numFmtId="0" fontId="14" fillId="0" borderId="5" xfId="0" applyFont="1" applyBorder="1"/>
    <xf numFmtId="0" fontId="14" fillId="0" borderId="31" xfId="0" applyFont="1" applyBorder="1"/>
    <xf numFmtId="2" fontId="14" fillId="0" borderId="51" xfId="0" applyNumberFormat="1" applyFont="1" applyBorder="1" applyAlignment="1">
      <alignment horizontal="right"/>
    </xf>
    <xf numFmtId="0" fontId="14" fillId="20" borderId="4" xfId="0" applyFont="1" applyFill="1" applyBorder="1"/>
    <xf numFmtId="0" fontId="39" fillId="0" borderId="3" xfId="0" applyFont="1" applyBorder="1" applyProtection="1">
      <protection locked="0"/>
    </xf>
    <xf numFmtId="167" fontId="70" fillId="0" borderId="20" xfId="0" applyNumberFormat="1" applyFont="1" applyBorder="1"/>
    <xf numFmtId="4" fontId="75" fillId="0" borderId="51" xfId="0" applyNumberFormat="1" applyFont="1" applyBorder="1" applyAlignment="1">
      <alignment horizontal="right"/>
    </xf>
    <xf numFmtId="167" fontId="14" fillId="0" borderId="1" xfId="0" applyNumberFormat="1" applyFont="1" applyBorder="1" applyProtection="1">
      <protection locked="0"/>
    </xf>
    <xf numFmtId="4" fontId="87" fillId="0" borderId="51" xfId="0" applyNumberFormat="1" applyFont="1" applyBorder="1" applyAlignment="1">
      <alignment horizontal="right"/>
    </xf>
    <xf numFmtId="167" fontId="71" fillId="0" borderId="1" xfId="0" applyNumberFormat="1" applyFont="1" applyBorder="1" applyProtection="1">
      <protection locked="0"/>
    </xf>
    <xf numFmtId="167" fontId="14" fillId="0" borderId="3" xfId="0" applyNumberFormat="1" applyFont="1" applyBorder="1"/>
    <xf numFmtId="4" fontId="77" fillId="0" borderId="49" xfId="0" applyNumberFormat="1" applyFont="1" applyBorder="1" applyAlignment="1" applyProtection="1">
      <alignment horizontal="right"/>
      <protection locked="0"/>
    </xf>
    <xf numFmtId="4" fontId="70" fillId="20" borderId="0" xfId="0" applyNumberFormat="1" applyFont="1" applyFill="1"/>
    <xf numFmtId="0" fontId="34" fillId="33" borderId="48" xfId="0" applyFont="1" applyFill="1" applyBorder="1"/>
    <xf numFmtId="4" fontId="35" fillId="33" borderId="56" xfId="0" applyNumberFormat="1" applyFont="1" applyFill="1" applyBorder="1"/>
    <xf numFmtId="167" fontId="35" fillId="33" borderId="59" xfId="3" applyNumberFormat="1" applyFont="1" applyFill="1" applyBorder="1" applyProtection="1"/>
    <xf numFmtId="10" fontId="35" fillId="0" borderId="49" xfId="3" applyNumberFormat="1" applyFont="1" applyFill="1" applyBorder="1" applyProtection="1"/>
    <xf numFmtId="4" fontId="35" fillId="29" borderId="56" xfId="0" applyNumberFormat="1" applyFont="1" applyFill="1" applyBorder="1"/>
    <xf numFmtId="167" fontId="35" fillId="29" borderId="56" xfId="3" applyNumberFormat="1" applyFont="1" applyFill="1" applyBorder="1" applyProtection="1"/>
    <xf numFmtId="2" fontId="80" fillId="30" borderId="1" xfId="0" applyNumberFormat="1" applyFont="1" applyFill="1" applyBorder="1"/>
    <xf numFmtId="0" fontId="79" fillId="30" borderId="1" xfId="0" applyFont="1" applyFill="1" applyBorder="1"/>
    <xf numFmtId="2" fontId="80" fillId="20" borderId="1" xfId="0" applyNumberFormat="1" applyFont="1" applyFill="1" applyBorder="1"/>
    <xf numFmtId="2" fontId="39" fillId="0" borderId="1" xfId="0" applyNumberFormat="1" applyFont="1" applyBorder="1"/>
    <xf numFmtId="2" fontId="39" fillId="20" borderId="1" xfId="0" applyNumberFormat="1" applyFont="1" applyFill="1" applyBorder="1"/>
    <xf numFmtId="2" fontId="14" fillId="0" borderId="1" xfId="0" applyNumberFormat="1" applyFont="1" applyBorder="1"/>
    <xf numFmtId="2" fontId="14" fillId="20" borderId="1" xfId="0" applyNumberFormat="1" applyFont="1" applyFill="1" applyBorder="1"/>
    <xf numFmtId="2" fontId="39" fillId="0" borderId="1" xfId="0" applyNumberFormat="1" applyFont="1" applyBorder="1" applyProtection="1">
      <protection locked="0"/>
    </xf>
    <xf numFmtId="10" fontId="39" fillId="0" borderId="28" xfId="3" applyNumberFormat="1" applyFont="1" applyBorder="1" applyProtection="1"/>
    <xf numFmtId="9" fontId="39" fillId="0" borderId="82" xfId="3" applyFont="1" applyFill="1" applyBorder="1" applyProtection="1"/>
    <xf numFmtId="10" fontId="74" fillId="0" borderId="82" xfId="3" applyNumberFormat="1" applyFont="1" applyFill="1" applyBorder="1" applyProtection="1">
      <protection locked="0"/>
    </xf>
    <xf numFmtId="167" fontId="39" fillId="0" borderId="82" xfId="3" applyNumberFormat="1" applyFont="1" applyFill="1" applyBorder="1" applyProtection="1"/>
    <xf numFmtId="0" fontId="14" fillId="20" borderId="1" xfId="0" applyFont="1" applyFill="1" applyBorder="1"/>
    <xf numFmtId="2" fontId="14" fillId="0" borderId="1" xfId="0" applyNumberFormat="1" applyFont="1" applyBorder="1" applyAlignment="1">
      <alignment horizontal="left"/>
    </xf>
    <xf numFmtId="167" fontId="14" fillId="0" borderId="1" xfId="0" applyNumberFormat="1" applyFont="1" applyBorder="1"/>
    <xf numFmtId="2" fontId="77" fillId="0" borderId="1" xfId="0" applyNumberFormat="1" applyFont="1" applyBorder="1" applyAlignment="1">
      <alignment horizontal="center"/>
    </xf>
    <xf numFmtId="167" fontId="14" fillId="20" borderId="1" xfId="0" applyNumberFormat="1" applyFont="1" applyFill="1" applyBorder="1"/>
    <xf numFmtId="165" fontId="69" fillId="0" borderId="48" xfId="0" applyNumberFormat="1" applyFont="1" applyBorder="1" applyAlignment="1">
      <alignment horizontal="center" vertical="center"/>
    </xf>
    <xf numFmtId="0" fontId="68" fillId="20" borderId="48" xfId="0" applyFont="1" applyFill="1" applyBorder="1" applyAlignment="1">
      <alignment horizontal="center" vertical="center"/>
    </xf>
    <xf numFmtId="1" fontId="14" fillId="0" borderId="48" xfId="0" applyNumberFormat="1" applyFont="1" applyBorder="1"/>
    <xf numFmtId="1" fontId="14" fillId="20" borderId="48" xfId="0" applyNumberFormat="1" applyFont="1" applyFill="1" applyBorder="1"/>
    <xf numFmtId="0" fontId="0" fillId="0" borderId="48" xfId="0" applyBorder="1" applyProtection="1">
      <protection locked="0"/>
    </xf>
    <xf numFmtId="0" fontId="31" fillId="0" borderId="48" xfId="0" applyFont="1" applyBorder="1"/>
    <xf numFmtId="0" fontId="0" fillId="20" borderId="48" xfId="0" applyFill="1" applyBorder="1" applyProtection="1">
      <protection locked="0"/>
    </xf>
    <xf numFmtId="0" fontId="39" fillId="0" borderId="48" xfId="0" applyFont="1" applyBorder="1" applyAlignment="1">
      <alignment horizontal="left"/>
    </xf>
    <xf numFmtId="0" fontId="39" fillId="20" borderId="48" xfId="0" applyFont="1" applyFill="1" applyBorder="1" applyAlignment="1">
      <alignment horizontal="left"/>
    </xf>
    <xf numFmtId="0" fontId="2" fillId="0" borderId="48" xfId="0" applyFont="1" applyBorder="1"/>
    <xf numFmtId="1" fontId="54" fillId="0" borderId="48" xfId="0" applyNumberFormat="1" applyFont="1" applyBorder="1" applyAlignment="1" applyProtection="1">
      <alignment horizontal="right"/>
      <protection locked="0"/>
    </xf>
    <xf numFmtId="10" fontId="54" fillId="0" borderId="48" xfId="3" applyNumberFormat="1" applyFont="1" applyBorder="1" applyAlignment="1" applyProtection="1">
      <alignment horizontal="right"/>
      <protection locked="0"/>
    </xf>
    <xf numFmtId="2" fontId="14" fillId="0" borderId="48" xfId="0" applyNumberFormat="1" applyFont="1" applyBorder="1" applyAlignment="1">
      <alignment horizontal="right"/>
    </xf>
    <xf numFmtId="4" fontId="77" fillId="0" borderId="48" xfId="0" applyNumberFormat="1" applyFont="1" applyBorder="1" applyAlignment="1">
      <alignment horizontal="right"/>
    </xf>
    <xf numFmtId="4" fontId="70" fillId="20" borderId="48" xfId="0" applyNumberFormat="1" applyFont="1" applyFill="1" applyBorder="1"/>
    <xf numFmtId="2" fontId="51" fillId="0" borderId="48" xfId="0" applyNumberFormat="1" applyFont="1" applyBorder="1" applyAlignment="1" applyProtection="1">
      <alignment horizontal="right"/>
      <protection locked="0"/>
    </xf>
    <xf numFmtId="172" fontId="35" fillId="27" borderId="48" xfId="3" applyNumberFormat="1" applyFont="1" applyFill="1" applyBorder="1" applyProtection="1"/>
    <xf numFmtId="0" fontId="41" fillId="0" borderId="48" xfId="0" applyFont="1" applyBorder="1"/>
    <xf numFmtId="0" fontId="41" fillId="20" borderId="48" xfId="0" applyFont="1" applyFill="1" applyBorder="1"/>
    <xf numFmtId="167" fontId="35" fillId="29" borderId="48" xfId="3" applyNumberFormat="1" applyFont="1" applyFill="1" applyBorder="1" applyProtection="1"/>
    <xf numFmtId="0" fontId="79" fillId="30" borderId="48" xfId="0" applyFont="1" applyFill="1" applyBorder="1"/>
    <xf numFmtId="0" fontId="0" fillId="31" borderId="0" xfId="0" applyFill="1"/>
    <xf numFmtId="0" fontId="39" fillId="31" borderId="0" xfId="0" applyFont="1" applyFill="1"/>
    <xf numFmtId="0" fontId="39" fillId="31" borderId="3" xfId="0" applyFont="1" applyFill="1" applyBorder="1"/>
    <xf numFmtId="0" fontId="41" fillId="0" borderId="1" xfId="0" applyFont="1" applyBorder="1" applyAlignment="1" applyProtection="1">
      <alignment horizontal="right"/>
      <protection locked="0"/>
    </xf>
    <xf numFmtId="170" fontId="74" fillId="0" borderId="1" xfId="0" applyNumberFormat="1" applyFont="1" applyBorder="1" applyProtection="1">
      <protection locked="0"/>
    </xf>
    <xf numFmtId="9" fontId="54" fillId="0" borderId="29" xfId="3" applyFont="1" applyBorder="1" applyAlignment="1" applyProtection="1">
      <alignment horizontal="center"/>
      <protection locked="0"/>
    </xf>
    <xf numFmtId="9" fontId="54" fillId="0" borderId="0" xfId="3" applyFont="1" applyBorder="1" applyAlignment="1" applyProtection="1">
      <alignment horizontal="center"/>
      <protection locked="0"/>
    </xf>
    <xf numFmtId="0" fontId="84" fillId="24" borderId="27" xfId="0" applyFont="1" applyFill="1" applyBorder="1" applyProtection="1">
      <protection locked="0"/>
    </xf>
    <xf numFmtId="2" fontId="14" fillId="0" borderId="31" xfId="0" applyNumberFormat="1" applyFont="1" applyBorder="1"/>
    <xf numFmtId="0" fontId="88" fillId="20" borderId="0" xfId="0" applyFont="1" applyFill="1"/>
    <xf numFmtId="2" fontId="39" fillId="0" borderId="1" xfId="0" applyNumberFormat="1" applyFont="1" applyBorder="1" applyAlignment="1">
      <alignment horizontal="left"/>
    </xf>
    <xf numFmtId="2" fontId="54" fillId="0" borderId="50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2" fontId="14" fillId="0" borderId="5" xfId="0" applyNumberFormat="1" applyFont="1" applyBorder="1"/>
    <xf numFmtId="0" fontId="25" fillId="20" borderId="0" xfId="0" applyFont="1" applyFill="1"/>
    <xf numFmtId="10" fontId="39" fillId="0" borderId="85" xfId="3" applyNumberFormat="1" applyFont="1" applyBorder="1" applyProtection="1"/>
    <xf numFmtId="9" fontId="39" fillId="0" borderId="44" xfId="0" applyNumberFormat="1" applyFont="1" applyBorder="1"/>
    <xf numFmtId="2" fontId="39" fillId="0" borderId="86" xfId="0" applyNumberFormat="1" applyFont="1" applyBorder="1" applyAlignment="1">
      <alignment horizontal="right"/>
    </xf>
    <xf numFmtId="9" fontId="39" fillId="20" borderId="42" xfId="0" applyNumberFormat="1" applyFont="1" applyFill="1" applyBorder="1"/>
    <xf numFmtId="0" fontId="39" fillId="0" borderId="30" xfId="0" applyFont="1" applyBorder="1"/>
    <xf numFmtId="0" fontId="39" fillId="0" borderId="83" xfId="0" applyFont="1" applyBorder="1"/>
    <xf numFmtId="0" fontId="89" fillId="0" borderId="87" xfId="0" applyFont="1" applyBorder="1"/>
    <xf numFmtId="171" fontId="54" fillId="0" borderId="50" xfId="2" applyNumberFormat="1" applyFont="1" applyBorder="1" applyAlignment="1" applyProtection="1">
      <alignment horizontal="right"/>
      <protection locked="0"/>
    </xf>
    <xf numFmtId="2" fontId="14" fillId="0" borderId="1" xfId="0" applyNumberFormat="1" applyFont="1" applyBorder="1" applyAlignment="1">
      <alignment horizontal="right"/>
    </xf>
    <xf numFmtId="0" fontId="39" fillId="0" borderId="1" xfId="0" applyFont="1" applyBorder="1" applyProtection="1">
      <protection locked="0"/>
    </xf>
    <xf numFmtId="167" fontId="70" fillId="0" borderId="31" xfId="0" applyNumberFormat="1" applyFont="1" applyBorder="1"/>
    <xf numFmtId="4" fontId="75" fillId="0" borderId="88" xfId="0" applyNumberFormat="1" applyFont="1" applyBorder="1" applyAlignment="1">
      <alignment horizontal="right"/>
    </xf>
    <xf numFmtId="4" fontId="76" fillId="20" borderId="4" xfId="0" applyNumberFormat="1" applyFont="1" applyFill="1" applyBorder="1"/>
    <xf numFmtId="167" fontId="59" fillId="0" borderId="89" xfId="0" applyNumberFormat="1" applyFont="1" applyBorder="1" applyProtection="1">
      <protection locked="0"/>
    </xf>
    <xf numFmtId="4" fontId="59" fillId="0" borderId="89" xfId="0" applyNumberFormat="1" applyFont="1" applyBorder="1" applyProtection="1">
      <protection locked="0"/>
    </xf>
    <xf numFmtId="167" fontId="59" fillId="20" borderId="89" xfId="0" applyNumberFormat="1" applyFont="1" applyFill="1" applyBorder="1" applyProtection="1">
      <protection locked="0"/>
    </xf>
    <xf numFmtId="167" fontId="17" fillId="0" borderId="89" xfId="0" applyNumberFormat="1" applyFont="1" applyBorder="1" applyProtection="1">
      <protection locked="0"/>
    </xf>
    <xf numFmtId="4" fontId="76" fillId="0" borderId="89" xfId="0" applyNumberFormat="1" applyFont="1" applyBorder="1" applyProtection="1">
      <protection locked="0"/>
    </xf>
    <xf numFmtId="167" fontId="76" fillId="20" borderId="89" xfId="0" applyNumberFormat="1" applyFont="1" applyFill="1" applyBorder="1" applyProtection="1">
      <protection locked="0"/>
    </xf>
    <xf numFmtId="167" fontId="14" fillId="0" borderId="0" xfId="0" applyNumberFormat="1" applyFont="1" applyProtection="1">
      <protection locked="0"/>
    </xf>
    <xf numFmtId="167" fontId="14" fillId="20" borderId="0" xfId="0" applyNumberFormat="1" applyFont="1" applyFill="1" applyProtection="1">
      <protection locked="0"/>
    </xf>
    <xf numFmtId="4" fontId="35" fillId="27" borderId="56" xfId="0" applyNumberFormat="1" applyFont="1" applyFill="1" applyBorder="1"/>
    <xf numFmtId="4" fontId="35" fillId="20" borderId="57" xfId="0" applyNumberFormat="1" applyFont="1" applyFill="1" applyBorder="1"/>
    <xf numFmtId="10" fontId="35" fillId="27" borderId="59" xfId="3" applyNumberFormat="1" applyFont="1" applyFill="1" applyBorder="1" applyProtection="1"/>
    <xf numFmtId="4" fontId="35" fillId="20" borderId="60" xfId="0" applyNumberFormat="1" applyFont="1" applyFill="1" applyBorder="1"/>
    <xf numFmtId="0" fontId="34" fillId="0" borderId="0" xfId="0" applyFont="1"/>
    <xf numFmtId="0" fontId="35" fillId="20" borderId="57" xfId="0" applyFont="1" applyFill="1" applyBorder="1"/>
    <xf numFmtId="10" fontId="35" fillId="29" borderId="59" xfId="3" applyNumberFormat="1" applyFont="1" applyFill="1" applyBorder="1" applyProtection="1"/>
    <xf numFmtId="0" fontId="35" fillId="20" borderId="60" xfId="0" applyFont="1" applyFill="1" applyBorder="1"/>
    <xf numFmtId="10" fontId="34" fillId="0" borderId="0" xfId="3" applyNumberFormat="1" applyFont="1" applyFill="1" applyBorder="1" applyProtection="1"/>
    <xf numFmtId="2" fontId="80" fillId="30" borderId="63" xfId="0" applyNumberFormat="1" applyFont="1" applyFill="1" applyBorder="1"/>
    <xf numFmtId="2" fontId="39" fillId="0" borderId="0" xfId="0" applyNumberFormat="1" applyFont="1"/>
    <xf numFmtId="2" fontId="14" fillId="0" borderId="65" xfId="0" applyNumberFormat="1" applyFont="1" applyBorder="1" applyAlignment="1">
      <alignment horizontal="left"/>
    </xf>
    <xf numFmtId="2" fontId="77" fillId="0" borderId="73" xfId="0" applyNumberFormat="1" applyFont="1" applyBorder="1" applyAlignment="1">
      <alignment horizontal="center"/>
    </xf>
    <xf numFmtId="167" fontId="14" fillId="20" borderId="74" xfId="0" applyNumberFormat="1" applyFont="1" applyFill="1" applyBorder="1"/>
    <xf numFmtId="0" fontId="39" fillId="0" borderId="90" xfId="0" applyFont="1" applyBorder="1"/>
    <xf numFmtId="0" fontId="68" fillId="11" borderId="90" xfId="0" applyFont="1" applyFill="1" applyBorder="1" applyAlignment="1">
      <alignment horizontal="center" vertical="center"/>
    </xf>
    <xf numFmtId="165" fontId="69" fillId="0" borderId="90" xfId="0" applyNumberFormat="1" applyFont="1" applyBorder="1" applyAlignment="1">
      <alignment horizontal="center" vertical="center"/>
    </xf>
    <xf numFmtId="0" fontId="32" fillId="11" borderId="90" xfId="0" applyFont="1" applyFill="1" applyBorder="1" applyAlignment="1">
      <alignment horizontal="center" vertical="center"/>
    </xf>
    <xf numFmtId="0" fontId="88" fillId="0" borderId="0" xfId="0" applyFont="1"/>
    <xf numFmtId="10" fontId="15" fillId="6" borderId="0" xfId="3" applyNumberFormat="1" applyFont="1" applyFill="1" applyBorder="1" applyAlignment="1">
      <alignment horizontal="center"/>
    </xf>
    <xf numFmtId="0" fontId="0" fillId="0" borderId="91" xfId="0" applyBorder="1"/>
    <xf numFmtId="0" fontId="0" fillId="20" borderId="91" xfId="0" applyFill="1" applyBorder="1"/>
    <xf numFmtId="169" fontId="39" fillId="20" borderId="48" xfId="0" applyNumberFormat="1" applyFont="1" applyFill="1" applyBorder="1"/>
    <xf numFmtId="0" fontId="71" fillId="0" borderId="48" xfId="0" applyFont="1" applyBorder="1" applyProtection="1">
      <protection locked="0"/>
    </xf>
    <xf numFmtId="173" fontId="39" fillId="20" borderId="48" xfId="0" applyNumberFormat="1" applyFont="1" applyFill="1" applyBorder="1"/>
    <xf numFmtId="10" fontId="74" fillId="0" borderId="48" xfId="3" applyNumberFormat="1" applyFont="1" applyFill="1" applyBorder="1" applyProtection="1"/>
    <xf numFmtId="171" fontId="54" fillId="0" borderId="48" xfId="2" applyNumberFormat="1" applyFont="1" applyBorder="1" applyAlignment="1" applyProtection="1">
      <alignment horizontal="right"/>
      <protection locked="0"/>
    </xf>
    <xf numFmtId="2" fontId="90" fillId="0" borderId="48" xfId="0" applyNumberFormat="1" applyFont="1" applyBorder="1" applyAlignment="1">
      <alignment horizontal="right"/>
    </xf>
    <xf numFmtId="173" fontId="91" fillId="20" borderId="48" xfId="0" applyNumberFormat="1" applyFont="1" applyFill="1" applyBorder="1"/>
    <xf numFmtId="173" fontId="41" fillId="20" borderId="48" xfId="0" applyNumberFormat="1" applyFont="1" applyFill="1" applyBorder="1"/>
    <xf numFmtId="4" fontId="41" fillId="20" borderId="48" xfId="0" applyNumberFormat="1" applyFont="1" applyFill="1" applyBorder="1"/>
    <xf numFmtId="167" fontId="34" fillId="0" borderId="48" xfId="3" applyNumberFormat="1" applyFont="1" applyFill="1" applyBorder="1" applyProtection="1"/>
    <xf numFmtId="173" fontId="39" fillId="0" borderId="48" xfId="0" applyNumberFormat="1" applyFont="1" applyBorder="1"/>
    <xf numFmtId="167" fontId="34" fillId="29" borderId="48" xfId="3" applyNumberFormat="1" applyFont="1" applyFill="1" applyBorder="1" applyProtection="1"/>
    <xf numFmtId="0" fontId="59" fillId="11" borderId="0" xfId="0" applyFont="1" applyFill="1"/>
    <xf numFmtId="0" fontId="32" fillId="20" borderId="92" xfId="0" applyFont="1" applyFill="1" applyBorder="1"/>
    <xf numFmtId="0" fontId="32" fillId="14" borderId="93" xfId="0" applyFont="1" applyFill="1" applyBorder="1"/>
    <xf numFmtId="0" fontId="92" fillId="14" borderId="94" xfId="0" applyFont="1" applyFill="1" applyBorder="1"/>
    <xf numFmtId="0" fontId="92" fillId="14" borderId="0" xfId="0" applyFont="1" applyFill="1"/>
    <xf numFmtId="0" fontId="32" fillId="20" borderId="95" xfId="0" applyFont="1" applyFill="1" applyBorder="1"/>
    <xf numFmtId="0" fontId="32" fillId="14" borderId="0" xfId="0" applyFont="1" applyFill="1"/>
    <xf numFmtId="0" fontId="92" fillId="14" borderId="3" xfId="0" applyFont="1" applyFill="1" applyBorder="1"/>
    <xf numFmtId="0" fontId="93" fillId="20" borderId="95" xfId="4" applyFont="1" applyFill="1" applyBorder="1" applyAlignment="1" applyProtection="1"/>
    <xf numFmtId="0" fontId="94" fillId="20" borderId="96" xfId="4" applyFont="1" applyFill="1" applyBorder="1" applyAlignment="1" applyProtection="1"/>
    <xf numFmtId="0" fontId="95" fillId="14" borderId="97" xfId="0" applyFont="1" applyFill="1" applyBorder="1"/>
    <xf numFmtId="0" fontId="95" fillId="14" borderId="98" xfId="0" applyFont="1" applyFill="1" applyBorder="1"/>
    <xf numFmtId="0" fontId="95" fillId="14" borderId="0" xfId="0" applyFont="1" applyFill="1"/>
    <xf numFmtId="3" fontId="39" fillId="0" borderId="48" xfId="0" applyNumberFormat="1" applyFont="1" applyBorder="1" applyAlignment="1">
      <alignment horizontal="left"/>
    </xf>
    <xf numFmtId="0" fontId="73" fillId="20" borderId="0" xfId="0" applyFont="1" applyFill="1" applyBorder="1"/>
    <xf numFmtId="0" fontId="71" fillId="10" borderId="0" xfId="0" applyFont="1" applyFill="1" applyBorder="1" applyAlignment="1" applyProtection="1">
      <alignment horizontal="center"/>
      <protection locked="0"/>
    </xf>
    <xf numFmtId="0" fontId="35" fillId="10" borderId="0" xfId="0" applyFont="1" applyFill="1" applyBorder="1" applyAlignment="1">
      <alignment horizontal="right"/>
    </xf>
    <xf numFmtId="0" fontId="99" fillId="10" borderId="0" xfId="0" applyFont="1" applyFill="1" applyBorder="1"/>
    <xf numFmtId="4" fontId="35" fillId="10" borderId="0" xfId="0" applyNumberFormat="1" applyFont="1" applyFill="1" applyBorder="1" applyAlignment="1">
      <alignment horizontal="left"/>
    </xf>
    <xf numFmtId="0" fontId="31" fillId="20" borderId="0" xfId="0" applyFont="1" applyFill="1" applyBorder="1"/>
    <xf numFmtId="2" fontId="0" fillId="0" borderId="0" xfId="0" applyNumberFormat="1"/>
    <xf numFmtId="0" fontId="100" fillId="10" borderId="0" xfId="0" applyFont="1" applyFill="1"/>
    <xf numFmtId="9" fontId="35" fillId="10" borderId="0" xfId="3" applyFont="1" applyFill="1" applyBorder="1" applyProtection="1">
      <protection locked="0"/>
    </xf>
    <xf numFmtId="4" fontId="77" fillId="0" borderId="48" xfId="0" applyNumberFormat="1" applyFont="1" applyBorder="1" applyAlignment="1">
      <alignment horizontal="center"/>
    </xf>
    <xf numFmtId="4" fontId="14" fillId="20" borderId="48" xfId="0" applyNumberFormat="1" applyFont="1" applyFill="1" applyBorder="1"/>
    <xf numFmtId="0" fontId="14" fillId="0" borderId="49" xfId="0" applyFont="1" applyFill="1" applyBorder="1" applyProtection="1">
      <protection locked="0"/>
    </xf>
    <xf numFmtId="9" fontId="54" fillId="0" borderId="0" xfId="0" applyNumberFormat="1" applyFont="1" applyFill="1" applyProtection="1">
      <protection locked="0"/>
    </xf>
    <xf numFmtId="17" fontId="45" fillId="0" borderId="0" xfId="0" applyNumberFormat="1" applyFont="1" applyFill="1" applyProtection="1">
      <protection locked="0"/>
    </xf>
    <xf numFmtId="170" fontId="45" fillId="0" borderId="0" xfId="0" applyNumberFormat="1" applyFont="1" applyFill="1" applyProtection="1">
      <protection locked="0"/>
    </xf>
    <xf numFmtId="0" fontId="0" fillId="0" borderId="0" xfId="0" applyFill="1"/>
    <xf numFmtId="9" fontId="54" fillId="0" borderId="0" xfId="3" applyFont="1" applyFill="1" applyBorder="1" applyProtection="1">
      <protection locked="0"/>
    </xf>
    <xf numFmtId="0" fontId="14" fillId="0" borderId="49" xfId="0" applyFont="1" applyFill="1" applyBorder="1"/>
    <xf numFmtId="17" fontId="70" fillId="0" borderId="0" xfId="3" quotePrefix="1" applyNumberFormat="1" applyFont="1" applyFill="1" applyBorder="1" applyAlignment="1" applyProtection="1">
      <alignment horizontal="center"/>
    </xf>
    <xf numFmtId="17" fontId="70" fillId="0" borderId="0" xfId="3" applyNumberFormat="1" applyFont="1" applyFill="1" applyBorder="1" applyAlignment="1" applyProtection="1">
      <alignment horizontal="center"/>
    </xf>
    <xf numFmtId="9" fontId="31" fillId="0" borderId="9" xfId="3" applyFont="1" applyFill="1" applyBorder="1" applyProtection="1">
      <protection locked="0"/>
    </xf>
    <xf numFmtId="9" fontId="31" fillId="0" borderId="2" xfId="3" applyFont="1" applyFill="1" applyBorder="1" applyProtection="1">
      <protection locked="0"/>
    </xf>
    <xf numFmtId="2" fontId="76" fillId="35" borderId="0" xfId="0" applyNumberFormat="1" applyFont="1" applyFill="1" applyAlignment="1">
      <alignment vertical="center"/>
    </xf>
    <xf numFmtId="2" fontId="16" fillId="35" borderId="0" xfId="0" applyNumberFormat="1" applyFont="1" applyFill="1"/>
    <xf numFmtId="2" fontId="11" fillId="10" borderId="0" xfId="0" applyNumberFormat="1" applyFont="1" applyFill="1"/>
    <xf numFmtId="10" fontId="15" fillId="0" borderId="0" xfId="3" applyNumberFormat="1" applyFont="1" applyFill="1" applyAlignment="1">
      <alignment horizontal="center"/>
    </xf>
    <xf numFmtId="17" fontId="15" fillId="0" borderId="0" xfId="0" applyNumberFormat="1" applyFont="1" applyFill="1" applyAlignment="1">
      <alignment horizontal="center"/>
    </xf>
    <xf numFmtId="2" fontId="0" fillId="0" borderId="0" xfId="0" applyNumberFormat="1" applyFill="1"/>
    <xf numFmtId="2" fontId="11" fillId="0" borderId="0" xfId="0" applyNumberFormat="1" applyFont="1" applyFill="1"/>
    <xf numFmtId="9" fontId="31" fillId="0" borderId="82" xfId="3" applyFont="1" applyFill="1" applyBorder="1" applyProtection="1">
      <protection locked="0"/>
    </xf>
    <xf numFmtId="0" fontId="39" fillId="0" borderId="0" xfId="0" applyFont="1" applyBorder="1"/>
    <xf numFmtId="0" fontId="14" fillId="0" borderId="0" xfId="0" applyFont="1" applyBorder="1"/>
    <xf numFmtId="0" fontId="101" fillId="20" borderId="48" xfId="0" applyFont="1" applyFill="1" applyBorder="1"/>
    <xf numFmtId="0" fontId="14" fillId="20" borderId="0" xfId="0" applyFont="1" applyFill="1" applyBorder="1"/>
    <xf numFmtId="3" fontId="45" fillId="0" borderId="1" xfId="0" applyNumberFormat="1" applyFont="1" applyBorder="1" applyAlignment="1" applyProtection="1">
      <alignment horizontal="right"/>
      <protection locked="0"/>
    </xf>
    <xf numFmtId="165" fontId="69" fillId="0" borderId="0" xfId="0" applyNumberFormat="1" applyFont="1" applyBorder="1" applyAlignment="1">
      <alignment vertical="center"/>
    </xf>
    <xf numFmtId="4" fontId="70" fillId="25" borderId="0" xfId="5" applyNumberFormat="1" applyFont="1" applyFill="1" applyBorder="1" applyAlignment="1">
      <alignment horizontal="center"/>
    </xf>
    <xf numFmtId="4" fontId="70" fillId="34" borderId="0" xfId="5" applyNumberFormat="1" applyFont="1" applyFill="1" applyBorder="1" applyAlignment="1">
      <alignment horizontal="center"/>
    </xf>
    <xf numFmtId="0" fontId="78" fillId="34" borderId="0" xfId="0" applyFont="1" applyFill="1" applyAlignment="1">
      <alignment horizontal="center" vertical="center"/>
    </xf>
    <xf numFmtId="165" fontId="102" fillId="34" borderId="0" xfId="0" applyNumberFormat="1" applyFont="1" applyFill="1" applyBorder="1" applyAlignment="1">
      <alignment vertical="center"/>
    </xf>
    <xf numFmtId="0" fontId="102" fillId="34" borderId="0" xfId="0" applyFont="1" applyFill="1" applyAlignment="1">
      <alignment horizontal="center" vertical="center"/>
    </xf>
    <xf numFmtId="167" fontId="103" fillId="34" borderId="0" xfId="3" applyNumberFormat="1" applyFont="1" applyFill="1" applyBorder="1" applyAlignment="1">
      <alignment horizontal="center"/>
    </xf>
    <xf numFmtId="167" fontId="47" fillId="37" borderId="0" xfId="3" applyNumberFormat="1" applyFont="1" applyFill="1" applyBorder="1" applyAlignment="1" applyProtection="1">
      <alignment horizontal="center"/>
      <protection locked="0"/>
    </xf>
    <xf numFmtId="4" fontId="43" fillId="36" borderId="99" xfId="3" applyNumberFormat="1" applyFont="1" applyFill="1" applyBorder="1" applyAlignment="1">
      <alignment horizontal="center"/>
    </xf>
    <xf numFmtId="167" fontId="78" fillId="38" borderId="0" xfId="3" applyNumberFormat="1" applyFont="1" applyFill="1" applyBorder="1" applyAlignment="1" applyProtection="1">
      <alignment horizontal="center"/>
      <protection locked="0"/>
    </xf>
    <xf numFmtId="0" fontId="41" fillId="0" borderId="0" xfId="0" applyFont="1" applyFill="1" applyAlignment="1">
      <alignment horizontal="center"/>
    </xf>
    <xf numFmtId="167" fontId="103" fillId="34" borderId="0" xfId="3" applyNumberFormat="1" applyFont="1" applyFill="1" applyBorder="1" applyAlignment="1">
      <alignment horizontal="center" vertical="center"/>
    </xf>
    <xf numFmtId="167" fontId="103" fillId="39" borderId="0" xfId="3" applyNumberFormat="1" applyFont="1" applyFill="1" applyBorder="1" applyAlignment="1">
      <alignment horizontal="center" vertical="center"/>
    </xf>
    <xf numFmtId="167" fontId="78" fillId="40" borderId="0" xfId="3" applyNumberFormat="1" applyFont="1" applyFill="1" applyBorder="1" applyAlignment="1" applyProtection="1">
      <alignment horizontal="center"/>
      <protection locked="0"/>
    </xf>
    <xf numFmtId="165" fontId="102" fillId="39" borderId="0" xfId="0" applyNumberFormat="1" applyFont="1" applyFill="1" applyBorder="1" applyAlignment="1">
      <alignment vertical="center"/>
    </xf>
    <xf numFmtId="4" fontId="70" fillId="39" borderId="0" xfId="5" applyNumberFormat="1" applyFont="1" applyFill="1" applyBorder="1" applyAlignment="1">
      <alignment horizontal="center"/>
    </xf>
    <xf numFmtId="0" fontId="31" fillId="41" borderId="0" xfId="0" applyFont="1" applyFill="1" applyBorder="1" applyAlignment="1">
      <alignment horizontal="right"/>
    </xf>
    <xf numFmtId="0" fontId="71" fillId="41" borderId="0" xfId="0" applyFont="1" applyFill="1" applyBorder="1" applyAlignment="1" applyProtection="1">
      <alignment horizontal="center"/>
      <protection locked="0"/>
    </xf>
    <xf numFmtId="0" fontId="47" fillId="41" borderId="0" xfId="0" applyFont="1" applyFill="1" applyBorder="1"/>
    <xf numFmtId="4" fontId="31" fillId="41" borderId="0" xfId="0" applyNumberFormat="1" applyFont="1" applyFill="1" applyBorder="1" applyAlignment="1">
      <alignment horizontal="left"/>
    </xf>
    <xf numFmtId="0" fontId="39" fillId="41" borderId="0" xfId="0" applyFont="1" applyFill="1" applyBorder="1"/>
    <xf numFmtId="2" fontId="31" fillId="41" borderId="0" xfId="0" applyNumberFormat="1" applyFont="1" applyFill="1" applyBorder="1" applyAlignment="1">
      <alignment horizontal="left"/>
    </xf>
    <xf numFmtId="0" fontId="104" fillId="41" borderId="0" xfId="0" applyFont="1" applyFill="1" applyBorder="1"/>
    <xf numFmtId="0" fontId="14" fillId="5" borderId="75" xfId="0" applyFont="1" applyFill="1" applyBorder="1" applyAlignment="1">
      <alignment vertical="center"/>
    </xf>
    <xf numFmtId="0" fontId="14" fillId="5" borderId="100" xfId="0" applyFont="1" applyFill="1" applyBorder="1"/>
    <xf numFmtId="0" fontId="70" fillId="20" borderId="2" xfId="0" applyFont="1" applyFill="1" applyBorder="1" applyAlignment="1">
      <alignment vertical="center"/>
    </xf>
    <xf numFmtId="0" fontId="39" fillId="0" borderId="43" xfId="0" applyFont="1" applyBorder="1"/>
    <xf numFmtId="0" fontId="106" fillId="0" borderId="0" xfId="0" applyFont="1"/>
    <xf numFmtId="0" fontId="70" fillId="20" borderId="0" xfId="0" applyFont="1" applyFill="1" applyBorder="1"/>
    <xf numFmtId="165" fontId="69" fillId="0" borderId="101" xfId="0" applyNumberFormat="1" applyFont="1" applyBorder="1" applyAlignment="1">
      <alignment horizontal="center" vertical="center"/>
    </xf>
    <xf numFmtId="165" fontId="69" fillId="0" borderId="102" xfId="0" applyNumberFormat="1" applyFont="1" applyBorder="1" applyAlignment="1">
      <alignment vertical="center"/>
    </xf>
    <xf numFmtId="165" fontId="69" fillId="0" borderId="103" xfId="0" applyNumberFormat="1" applyFont="1" applyBorder="1" applyAlignment="1">
      <alignment horizontal="center" vertical="center"/>
    </xf>
    <xf numFmtId="165" fontId="69" fillId="0" borderId="104" xfId="0" applyNumberFormat="1" applyFont="1" applyBorder="1" applyAlignment="1">
      <alignment vertical="center"/>
    </xf>
    <xf numFmtId="167" fontId="47" fillId="37" borderId="15" xfId="3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167" fontId="78" fillId="38" borderId="43" xfId="3" applyNumberFormat="1" applyFont="1" applyFill="1" applyBorder="1" applyAlignment="1" applyProtection="1">
      <alignment horizontal="center"/>
      <protection locked="0"/>
    </xf>
    <xf numFmtId="4" fontId="43" fillId="36" borderId="2" xfId="3" applyNumberFormat="1" applyFont="1" applyFill="1" applyBorder="1" applyAlignment="1">
      <alignment horizontal="center"/>
    </xf>
    <xf numFmtId="165" fontId="69" fillId="0" borderId="105" xfId="0" applyNumberFormat="1" applyFont="1" applyBorder="1" applyAlignment="1">
      <alignment vertical="center"/>
    </xf>
    <xf numFmtId="9" fontId="17" fillId="0" borderId="0" xfId="0" applyNumberFormat="1" applyFont="1" applyBorder="1" applyProtection="1">
      <protection locked="0"/>
    </xf>
    <xf numFmtId="0" fontId="107" fillId="0" borderId="0" xfId="0" applyFont="1" applyAlignment="1">
      <alignment horizontal="right"/>
    </xf>
    <xf numFmtId="44" fontId="68" fillId="0" borderId="0" xfId="0" applyNumberFormat="1" applyFont="1" applyAlignment="1">
      <alignment horizontal="left"/>
    </xf>
    <xf numFmtId="0" fontId="54" fillId="24" borderId="106" xfId="0" applyFont="1" applyFill="1" applyBorder="1" applyProtection="1">
      <protection locked="0"/>
    </xf>
    <xf numFmtId="0" fontId="14" fillId="22" borderId="107" xfId="0" applyFont="1" applyFill="1" applyBorder="1"/>
    <xf numFmtId="0" fontId="60" fillId="24" borderId="108" xfId="0" applyFont="1" applyFill="1" applyBorder="1" applyProtection="1">
      <protection locked="0"/>
    </xf>
    <xf numFmtId="0" fontId="61" fillId="24" borderId="4" xfId="0" applyFont="1" applyFill="1" applyBorder="1"/>
    <xf numFmtId="9" fontId="54" fillId="24" borderId="100" xfId="0" applyNumberFormat="1" applyFont="1" applyFill="1" applyBorder="1" applyProtection="1">
      <protection locked="0"/>
    </xf>
    <xf numFmtId="0" fontId="102" fillId="34" borderId="109" xfId="0" applyFont="1" applyFill="1" applyBorder="1" applyAlignment="1">
      <alignment horizontal="center"/>
    </xf>
    <xf numFmtId="0" fontId="71" fillId="0" borderId="110" xfId="0" applyFont="1" applyBorder="1" applyProtection="1">
      <protection locked="0"/>
    </xf>
    <xf numFmtId="0" fontId="14" fillId="0" borderId="111" xfId="0" applyFont="1" applyBorder="1"/>
    <xf numFmtId="0" fontId="105" fillId="0" borderId="112" xfId="0" applyFont="1" applyBorder="1" applyProtection="1"/>
    <xf numFmtId="0" fontId="0" fillId="0" borderId="112" xfId="0" applyBorder="1"/>
    <xf numFmtId="0" fontId="0" fillId="0" borderId="113" xfId="0" applyBorder="1"/>
    <xf numFmtId="1" fontId="0" fillId="0" borderId="0" xfId="0" applyNumberFormat="1"/>
    <xf numFmtId="2" fontId="30" fillId="0" borderId="0" xfId="0" applyNumberFormat="1" applyFont="1"/>
    <xf numFmtId="2" fontId="0" fillId="0" borderId="0" xfId="0" applyNumberFormat="1"/>
  </cellXfs>
  <cellStyles count="6">
    <cellStyle name="Hipervínculo" xfId="4" builtinId="8"/>
    <cellStyle name="Millares" xfId="1" builtinId="3"/>
    <cellStyle name="Moneda" xfId="2" builtinId="4"/>
    <cellStyle name="Normal" xfId="0" builtinId="0"/>
    <cellStyle name="Porcentaje" xfId="3" builtinId="5"/>
    <cellStyle name="Porcentaje 2" xfId="5" xr:uid="{82E10DE4-D7B3-4299-870C-3B32E01BE2BE}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33CC"/>
      <color rgb="FF00FF00"/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file:///D:\Documents%20and%20Settings\Uruguay\Datos%20de%20programa\Microsoft\Excel\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31C0-2654-4C6D-9C21-BB57700A4748}">
  <dimension ref="A1:AA462"/>
  <sheetViews>
    <sheetView tabSelected="1" zoomScale="70" zoomScaleNormal="70" workbookViewId="0">
      <pane ySplit="1" topLeftCell="A2" activePane="bottomLeft" state="frozen"/>
      <selection pane="bottomLeft" activeCell="H5" sqref="H5"/>
    </sheetView>
  </sheetViews>
  <sheetFormatPr baseColWidth="10" defaultRowHeight="15" x14ac:dyDescent="0.25"/>
  <cols>
    <col min="3" max="3" width="13.7109375" customWidth="1"/>
    <col min="4" max="4" width="43.85546875" customWidth="1"/>
    <col min="5" max="5" width="34.5703125" customWidth="1"/>
    <col min="6" max="6" width="21.85546875" customWidth="1"/>
    <col min="7" max="7" width="32.7109375" customWidth="1"/>
    <col min="8" max="8" width="15.85546875" customWidth="1"/>
    <col min="9" max="9" width="30.28515625" customWidth="1"/>
    <col min="10" max="10" width="15.5703125" customWidth="1"/>
    <col min="11" max="11" width="30.28515625" customWidth="1"/>
    <col min="13" max="13" width="29.7109375" customWidth="1"/>
    <col min="14" max="14" width="15.140625" customWidth="1"/>
    <col min="15" max="15" width="23.85546875" customWidth="1"/>
    <col min="17" max="17" width="25.140625" customWidth="1"/>
  </cols>
  <sheetData>
    <row r="1" spans="1:25" ht="25.5" customHeight="1" x14ac:dyDescent="0.35">
      <c r="A1" s="19"/>
      <c r="B1" s="20"/>
      <c r="C1" s="20"/>
      <c r="D1" s="20"/>
      <c r="E1" s="21">
        <v>46357</v>
      </c>
      <c r="F1" s="22" cm="1">
        <f t="array" ref="F1">aumentodiciembre26</f>
        <v>0.14231041977499981</v>
      </c>
      <c r="G1" s="21">
        <v>46327</v>
      </c>
      <c r="H1" s="22" cm="1">
        <f t="array" ref="H1">aumentonoviembre26</f>
        <v>0.11991217624999972</v>
      </c>
      <c r="I1" s="21">
        <v>46266</v>
      </c>
      <c r="J1" s="22">
        <f>aumentoseptiembre26</f>
        <v>0.10336174999999992</v>
      </c>
      <c r="K1" s="21">
        <v>46204</v>
      </c>
      <c r="L1" s="22">
        <f>aumentojulio26</f>
        <v>6.6049999999999942E-2</v>
      </c>
      <c r="M1" s="21">
        <v>46143</v>
      </c>
      <c r="N1" s="22">
        <v>3.5000000000000003E-2</v>
      </c>
      <c r="O1" s="21">
        <v>46054</v>
      </c>
      <c r="P1" s="22">
        <v>0</v>
      </c>
      <c r="Q1" s="21">
        <v>45992</v>
      </c>
      <c r="R1" s="591"/>
      <c r="S1" s="592"/>
      <c r="T1" s="591"/>
      <c r="U1" s="592"/>
      <c r="V1" s="591"/>
      <c r="W1" s="592"/>
      <c r="X1" s="591"/>
      <c r="Y1" s="592"/>
    </row>
    <row r="2" spans="1:25" x14ac:dyDescent="0.25">
      <c r="A2" s="23"/>
      <c r="B2" s="24"/>
      <c r="C2" s="24"/>
      <c r="D2" s="25"/>
      <c r="J2" s="581"/>
      <c r="K2" s="581"/>
      <c r="L2" s="581"/>
      <c r="M2" s="581"/>
      <c r="N2" s="581"/>
      <c r="O2" s="581"/>
      <c r="P2" s="581"/>
      <c r="Q2" s="581"/>
    </row>
    <row r="3" spans="1:25" ht="33.75" x14ac:dyDescent="0.5">
      <c r="B3" s="26" t="s">
        <v>386</v>
      </c>
      <c r="D3" s="27"/>
      <c r="E3" s="28"/>
      <c r="F3" s="28"/>
      <c r="G3" s="29"/>
      <c r="H3" s="30"/>
      <c r="I3" s="31"/>
      <c r="J3" s="593"/>
      <c r="K3" s="581"/>
      <c r="L3" s="581"/>
      <c r="M3" s="581"/>
      <c r="N3" s="581"/>
      <c r="O3" s="581"/>
      <c r="P3" s="581"/>
      <c r="Q3" s="581"/>
    </row>
    <row r="4" spans="1:25" ht="24" thickBot="1" x14ac:dyDescent="0.3">
      <c r="B4" s="33" t="s">
        <v>502</v>
      </c>
      <c r="D4" s="27"/>
      <c r="E4" s="28"/>
      <c r="F4" s="28"/>
      <c r="G4" s="29"/>
      <c r="H4" s="30"/>
      <c r="I4" s="31"/>
      <c r="J4" s="593"/>
      <c r="K4" s="581"/>
      <c r="L4" s="581"/>
      <c r="M4" s="581"/>
      <c r="N4" s="581"/>
      <c r="O4" s="581"/>
      <c r="P4" s="581"/>
      <c r="Q4" s="581"/>
    </row>
    <row r="5" spans="1:25" ht="30" x14ac:dyDescent="0.4">
      <c r="B5" s="34" t="s">
        <v>525</v>
      </c>
      <c r="C5" s="35"/>
      <c r="D5" s="36"/>
      <c r="E5" s="628" t="s">
        <v>519</v>
      </c>
      <c r="H5" s="30"/>
      <c r="I5" s="31"/>
      <c r="J5" s="593"/>
      <c r="K5" s="581"/>
      <c r="L5" s="581"/>
      <c r="M5" s="581"/>
      <c r="N5" s="581"/>
      <c r="O5" s="581"/>
      <c r="P5" s="581"/>
      <c r="Q5" s="581"/>
    </row>
    <row r="6" spans="1:25" ht="27.75" x14ac:dyDescent="0.25">
      <c r="B6" s="588" t="s">
        <v>524</v>
      </c>
      <c r="C6" s="589"/>
      <c r="D6" s="589"/>
      <c r="E6" s="37" t="s">
        <v>532</v>
      </c>
      <c r="H6" s="30"/>
      <c r="I6" s="31"/>
      <c r="J6" s="593"/>
      <c r="K6" s="581"/>
      <c r="L6" s="581"/>
      <c r="M6" s="581"/>
      <c r="N6" s="581"/>
      <c r="O6" s="581"/>
      <c r="P6" s="581"/>
      <c r="Q6" s="581"/>
    </row>
    <row r="7" spans="1:25" ht="20.25" x14ac:dyDescent="0.25">
      <c r="A7" s="38"/>
      <c r="B7" s="39"/>
      <c r="C7" s="40"/>
      <c r="D7" s="40"/>
      <c r="E7" s="40"/>
      <c r="F7" s="41" t="s">
        <v>387</v>
      </c>
      <c r="G7" s="42"/>
      <c r="H7" s="43" t="s">
        <v>510</v>
      </c>
      <c r="I7" s="590"/>
      <c r="J7" s="594"/>
      <c r="K7" s="594"/>
      <c r="L7" s="594"/>
      <c r="M7" s="594"/>
      <c r="N7" s="594"/>
      <c r="O7" s="594"/>
      <c r="P7" s="594"/>
      <c r="Q7" s="594"/>
    </row>
    <row r="8" spans="1:25" ht="23.25" x14ac:dyDescent="0.35">
      <c r="A8" s="38"/>
      <c r="B8" s="654" t="s">
        <v>388</v>
      </c>
      <c r="C8" s="655"/>
      <c r="D8" s="655"/>
      <c r="E8" s="44"/>
      <c r="F8" s="45" t="s">
        <v>389</v>
      </c>
      <c r="G8" s="46"/>
      <c r="H8" s="43" t="s">
        <v>510</v>
      </c>
      <c r="I8" s="590"/>
      <c r="J8" s="44"/>
      <c r="K8" s="44"/>
      <c r="L8" s="38"/>
      <c r="M8" s="38"/>
      <c r="N8" s="38"/>
      <c r="O8" s="38"/>
      <c r="P8" s="38"/>
      <c r="Q8" s="38"/>
    </row>
    <row r="9" spans="1:25" ht="18" x14ac:dyDescent="0.25">
      <c r="A9" s="38"/>
      <c r="B9" s="47" t="s">
        <v>390</v>
      </c>
      <c r="C9" s="48"/>
      <c r="D9" s="48"/>
      <c r="E9" s="44"/>
      <c r="F9" s="49"/>
      <c r="G9" s="49"/>
      <c r="H9" s="49"/>
      <c r="I9" s="44"/>
      <c r="J9" s="44"/>
      <c r="K9" s="44"/>
      <c r="L9" s="38"/>
      <c r="M9" s="38"/>
      <c r="N9" s="38"/>
      <c r="O9" s="38"/>
      <c r="P9" s="38"/>
      <c r="Q9" s="38"/>
    </row>
    <row r="10" spans="1:25" ht="18" x14ac:dyDescent="0.25">
      <c r="A10" s="38"/>
      <c r="B10" s="50" t="s">
        <v>391</v>
      </c>
      <c r="C10" s="51"/>
      <c r="D10" s="51"/>
      <c r="E10" s="52"/>
      <c r="F10" s="53" t="s">
        <v>392</v>
      </c>
      <c r="G10" s="54"/>
      <c r="H10" s="55" t="s">
        <v>393</v>
      </c>
      <c r="I10" s="56"/>
      <c r="J10" s="57" t="s">
        <v>512</v>
      </c>
      <c r="K10" s="57"/>
      <c r="L10" s="38"/>
      <c r="M10" s="38"/>
      <c r="N10" s="38"/>
      <c r="O10" s="38"/>
      <c r="P10" s="38"/>
      <c r="Q10" s="38"/>
    </row>
    <row r="11" spans="1:25" ht="27.75" customHeight="1" x14ac:dyDescent="0.25">
      <c r="B11" s="58"/>
      <c r="C11" s="48"/>
      <c r="D11" s="48"/>
      <c r="E11" s="44"/>
      <c r="F11" s="59" t="s">
        <v>394</v>
      </c>
      <c r="G11" s="60"/>
      <c r="H11" s="55" t="s">
        <v>393</v>
      </c>
      <c r="I11" s="61"/>
      <c r="J11" s="57" t="s">
        <v>512</v>
      </c>
      <c r="K11" s="57"/>
    </row>
    <row r="12" spans="1:25" ht="20.25" x14ac:dyDescent="0.3">
      <c r="B12" s="62"/>
      <c r="C12" s="63"/>
      <c r="D12" s="64"/>
      <c r="E12" s="65"/>
      <c r="F12" s="66" t="s">
        <v>395</v>
      </c>
      <c r="G12" s="67"/>
      <c r="H12" s="68" t="s">
        <v>511</v>
      </c>
      <c r="I12" s="44"/>
      <c r="J12" s="44"/>
      <c r="K12" s="44"/>
    </row>
    <row r="13" spans="1:25" x14ac:dyDescent="0.25">
      <c r="B13" s="32"/>
      <c r="C13" s="32"/>
      <c r="D13" s="69"/>
      <c r="E13" s="32"/>
      <c r="G13" s="70"/>
      <c r="H13" s="32"/>
      <c r="I13" s="31"/>
      <c r="J13" s="32"/>
    </row>
    <row r="14" spans="1:25" x14ac:dyDescent="0.25">
      <c r="B14" s="23"/>
      <c r="D14" s="69"/>
      <c r="G14" s="73"/>
      <c r="H14" s="32"/>
      <c r="I14" s="73"/>
    </row>
    <row r="15" spans="1:25" x14ac:dyDescent="0.25">
      <c r="A15" s="74"/>
      <c r="D15" s="69"/>
      <c r="I15" s="73"/>
      <c r="Q15" s="73"/>
    </row>
    <row r="16" spans="1:25" x14ac:dyDescent="0.25">
      <c r="A16" s="75" t="s">
        <v>396</v>
      </c>
      <c r="D16" s="69"/>
    </row>
    <row r="17" spans="1:8" x14ac:dyDescent="0.25">
      <c r="A17" s="75"/>
      <c r="D17" s="69"/>
      <c r="G17" s="23"/>
    </row>
    <row r="18" spans="1:8" x14ac:dyDescent="0.25">
      <c r="A18" s="75" t="s">
        <v>397</v>
      </c>
      <c r="D18" s="69"/>
      <c r="G18" s="23"/>
    </row>
    <row r="19" spans="1:8" x14ac:dyDescent="0.25">
      <c r="A19" s="75" t="s">
        <v>398</v>
      </c>
      <c r="D19" s="69"/>
      <c r="G19" s="23"/>
    </row>
    <row r="20" spans="1:8" x14ac:dyDescent="0.25">
      <c r="A20" s="75"/>
      <c r="D20" s="69"/>
      <c r="G20" s="23"/>
    </row>
    <row r="21" spans="1:8" x14ac:dyDescent="0.25">
      <c r="A21" s="75" t="s">
        <v>399</v>
      </c>
      <c r="D21" s="69"/>
      <c r="G21" s="23"/>
    </row>
    <row r="22" spans="1:8" x14ac:dyDescent="0.25">
      <c r="A22" s="75" t="s">
        <v>400</v>
      </c>
      <c r="D22" s="69"/>
      <c r="G22" s="23"/>
    </row>
    <row r="23" spans="1:8" x14ac:dyDescent="0.25">
      <c r="A23" s="75"/>
      <c r="D23" s="69"/>
      <c r="G23" s="23"/>
    </row>
    <row r="24" spans="1:8" x14ac:dyDescent="0.25">
      <c r="A24" s="75" t="s">
        <v>401</v>
      </c>
      <c r="D24" s="69"/>
      <c r="G24" s="23"/>
    </row>
    <row r="25" spans="1:8" x14ac:dyDescent="0.25">
      <c r="A25" s="75" t="s">
        <v>402</v>
      </c>
      <c r="D25" s="69"/>
      <c r="G25" s="23"/>
    </row>
    <row r="26" spans="1:8" x14ac:dyDescent="0.25">
      <c r="A26" s="75" t="s">
        <v>403</v>
      </c>
      <c r="D26" s="69"/>
      <c r="G26" s="23"/>
    </row>
    <row r="27" spans="1:8" ht="15.75" x14ac:dyDescent="0.25">
      <c r="A27" s="75"/>
      <c r="B27" s="76"/>
      <c r="D27" s="69"/>
      <c r="E27" s="72"/>
      <c r="G27" s="23"/>
    </row>
    <row r="28" spans="1:8" ht="15.75" x14ac:dyDescent="0.25">
      <c r="A28" s="75" t="s">
        <v>404</v>
      </c>
      <c r="B28" s="76"/>
      <c r="D28" s="69"/>
      <c r="E28" s="72"/>
      <c r="G28" s="23"/>
    </row>
    <row r="29" spans="1:8" ht="15.75" x14ac:dyDescent="0.25">
      <c r="A29" s="77"/>
      <c r="B29" s="76"/>
      <c r="D29" s="69"/>
      <c r="E29" s="72"/>
      <c r="G29" s="23"/>
    </row>
    <row r="30" spans="1:8" x14ac:dyDescent="0.25">
      <c r="A30" s="75" t="s">
        <v>405</v>
      </c>
      <c r="D30" s="69"/>
      <c r="G30" s="23"/>
      <c r="H30" s="78"/>
    </row>
    <row r="31" spans="1:8" x14ac:dyDescent="0.25">
      <c r="A31" s="75" t="s">
        <v>406</v>
      </c>
      <c r="D31" s="69"/>
    </row>
    <row r="32" spans="1:8" x14ac:dyDescent="0.25">
      <c r="A32" s="75" t="s">
        <v>407</v>
      </c>
      <c r="D32" s="69"/>
    </row>
    <row r="33" spans="1:15" x14ac:dyDescent="0.25">
      <c r="A33" s="75"/>
      <c r="D33" s="69"/>
    </row>
    <row r="34" spans="1:15" x14ac:dyDescent="0.25">
      <c r="A34" s="75"/>
      <c r="D34" s="69"/>
    </row>
    <row r="35" spans="1:15" x14ac:dyDescent="0.25">
      <c r="A35" s="75" t="s">
        <v>408</v>
      </c>
      <c r="D35" s="69"/>
    </row>
    <row r="36" spans="1:15" hidden="1" x14ac:dyDescent="0.25">
      <c r="A36" s="79"/>
      <c r="D36" s="69"/>
    </row>
    <row r="37" spans="1:15" hidden="1" x14ac:dyDescent="0.25">
      <c r="A37" s="79"/>
      <c r="D37" s="69"/>
    </row>
    <row r="38" spans="1:15" hidden="1" x14ac:dyDescent="0.25">
      <c r="A38" s="79"/>
      <c r="D38" s="69"/>
      <c r="O38" s="81"/>
    </row>
    <row r="39" spans="1:15" hidden="1" x14ac:dyDescent="0.25">
      <c r="A39" s="82"/>
      <c r="B39" s="44" t="s">
        <v>409</v>
      </c>
      <c r="C39" s="83">
        <v>264.02777523499992</v>
      </c>
      <c r="D39" s="44" t="s">
        <v>498</v>
      </c>
      <c r="E39" s="83">
        <v>273.2688</v>
      </c>
      <c r="F39" s="44" t="s">
        <v>503</v>
      </c>
      <c r="G39" s="83">
        <v>281.46686399999999</v>
      </c>
      <c r="H39" s="44" t="s">
        <v>505</v>
      </c>
      <c r="I39" s="83">
        <v>291.31820423999994</v>
      </c>
      <c r="J39" s="44" t="s">
        <v>528</v>
      </c>
      <c r="K39" s="83">
        <v>295.68797730359989</v>
      </c>
      <c r="L39" s="44" t="s">
        <v>530</v>
      </c>
      <c r="M39" s="83">
        <v>301.60173684967191</v>
      </c>
    </row>
    <row r="40" spans="1:15" hidden="1" x14ac:dyDescent="0.25">
      <c r="A40" s="82"/>
      <c r="B40" s="44" t="s">
        <v>410</v>
      </c>
      <c r="C40" s="83">
        <v>456.22564546749987</v>
      </c>
      <c r="D40" s="44" t="s">
        <v>499</v>
      </c>
      <c r="E40" s="83">
        <v>472.19349999999997</v>
      </c>
      <c r="F40" s="44" t="s">
        <v>504</v>
      </c>
      <c r="G40" s="83">
        <v>486.35930500000001</v>
      </c>
      <c r="H40" s="44" t="s">
        <v>506</v>
      </c>
      <c r="I40" s="83">
        <v>503.38188067499999</v>
      </c>
      <c r="J40" s="44" t="s">
        <v>529</v>
      </c>
      <c r="K40" s="83">
        <v>510.93260888512492</v>
      </c>
      <c r="L40" s="44" t="s">
        <v>531</v>
      </c>
      <c r="M40" s="83">
        <v>521.15126106282742</v>
      </c>
    </row>
    <row r="41" spans="1:15" hidden="1" x14ac:dyDescent="0.25">
      <c r="A41" s="79"/>
      <c r="C41" s="38" t="s">
        <v>497</v>
      </c>
      <c r="D41" s="32">
        <f>LOOKUP(porcantigcargo,porant,cod06cargosdic25)</f>
        <v>339145.62573274679</v>
      </c>
      <c r="F41">
        <f>indicemay26*1.03</f>
        <v>281.46686399999999</v>
      </c>
      <c r="H41">
        <f>G39*1.035</f>
        <v>291.31820423999994</v>
      </c>
      <c r="J41">
        <f>indicesep26*1.015</f>
        <v>295.68797730359989</v>
      </c>
      <c r="K41" s="38"/>
      <c r="L41">
        <f>indicenov26*1.02</f>
        <v>301.60173684967191</v>
      </c>
      <c r="M41" s="38"/>
    </row>
    <row r="42" spans="1:15" hidden="1" x14ac:dyDescent="0.25">
      <c r="A42" s="79"/>
      <c r="C42" s="38"/>
      <c r="D42" s="572"/>
      <c r="F42">
        <f>Indiceproljormay26*1.03</f>
        <v>486.35930500000001</v>
      </c>
      <c r="H42">
        <f>G40*1.035</f>
        <v>503.38188067499999</v>
      </c>
      <c r="J42">
        <f>Indiceproljorsep26*1.015</f>
        <v>510.93260888512492</v>
      </c>
      <c r="K42" s="38"/>
      <c r="L42">
        <f>Indiceproljornov26*1.02</f>
        <v>521.15126106282742</v>
      </c>
      <c r="M42" s="38"/>
    </row>
    <row r="43" spans="1:15" hidden="1" x14ac:dyDescent="0.25">
      <c r="A43" s="79"/>
      <c r="D43" s="38" t="s">
        <v>507</v>
      </c>
      <c r="E43">
        <v>3.5000000000000003E-2</v>
      </c>
      <c r="K43" s="38"/>
      <c r="L43" s="572"/>
    </row>
    <row r="44" spans="1:15" hidden="1" x14ac:dyDescent="0.25">
      <c r="A44" s="79"/>
      <c r="C44" s="38"/>
      <c r="D44" s="38" t="s">
        <v>508</v>
      </c>
      <c r="E44">
        <f>(1+aumentomayo26)*(1.03)-1</f>
        <v>6.6049999999999942E-2</v>
      </c>
      <c r="K44" s="38"/>
      <c r="L44" s="572"/>
    </row>
    <row r="45" spans="1:15" hidden="1" x14ac:dyDescent="0.25">
      <c r="A45" s="79"/>
      <c r="C45" s="38"/>
      <c r="D45" s="38" t="s">
        <v>509</v>
      </c>
      <c r="E45">
        <f>(1+E44)*(1.035)-1</f>
        <v>0.10336174999999992</v>
      </c>
      <c r="K45" s="38"/>
      <c r="L45" s="572"/>
    </row>
    <row r="46" spans="1:15" hidden="1" x14ac:dyDescent="0.25">
      <c r="A46" s="79"/>
      <c r="C46" s="38"/>
      <c r="D46" s="38" t="s">
        <v>526</v>
      </c>
      <c r="E46">
        <f>(1+E45)*(1.015)-1</f>
        <v>0.11991217624999972</v>
      </c>
      <c r="K46" s="38"/>
      <c r="L46" s="572"/>
    </row>
    <row r="47" spans="1:15" hidden="1" x14ac:dyDescent="0.25">
      <c r="A47" s="79"/>
      <c r="C47" s="38"/>
      <c r="D47" s="38" t="s">
        <v>527</v>
      </c>
      <c r="E47">
        <f>(1+E46)*(1.02)-1</f>
        <v>0.14231041977499981</v>
      </c>
      <c r="K47" s="38"/>
      <c r="L47" s="572"/>
    </row>
    <row r="48" spans="1:15" hidden="1" x14ac:dyDescent="0.25">
      <c r="A48" s="79"/>
      <c r="C48" s="38"/>
      <c r="D48" s="572"/>
      <c r="K48" s="38"/>
      <c r="L48" s="572"/>
    </row>
    <row r="49" spans="1:17" hidden="1" x14ac:dyDescent="0.25">
      <c r="A49" s="79"/>
      <c r="C49" s="38"/>
      <c r="D49" s="572"/>
      <c r="K49" s="38"/>
      <c r="L49" s="572"/>
    </row>
    <row r="50" spans="1:17" hidden="1" x14ac:dyDescent="0.25">
      <c r="A50" s="79"/>
      <c r="C50" s="38"/>
      <c r="D50" s="572"/>
      <c r="K50" s="38"/>
      <c r="L50" s="572"/>
    </row>
    <row r="51" spans="1:17" hidden="1" x14ac:dyDescent="0.25">
      <c r="A51" s="79"/>
      <c r="C51" s="38"/>
      <c r="D51" s="572"/>
      <c r="K51" s="38"/>
      <c r="L51" s="572"/>
    </row>
    <row r="52" spans="1:17" ht="16.5" hidden="1" thickBot="1" x14ac:dyDescent="0.3">
      <c r="A52" s="84"/>
      <c r="C52" s="87">
        <v>45658</v>
      </c>
      <c r="D52" s="88"/>
      <c r="E52" s="89"/>
      <c r="F52" s="87">
        <v>45658</v>
      </c>
      <c r="G52" s="87">
        <v>45658</v>
      </c>
      <c r="I52" s="90"/>
      <c r="J52" s="85"/>
      <c r="K52" s="38"/>
      <c r="L52" s="80"/>
    </row>
    <row r="53" spans="1:17" ht="17.25" hidden="1" thickTop="1" thickBot="1" x14ac:dyDescent="0.3">
      <c r="A53" s="84"/>
      <c r="C53" s="92" t="s">
        <v>411</v>
      </c>
      <c r="D53" s="93" t="s">
        <v>412</v>
      </c>
      <c r="E53" s="94" t="s">
        <v>413</v>
      </c>
      <c r="F53" s="95" t="s">
        <v>414</v>
      </c>
      <c r="G53" s="96" t="s">
        <v>415</v>
      </c>
      <c r="H53" s="95" t="s">
        <v>416</v>
      </c>
      <c r="I53" s="95" t="s">
        <v>417</v>
      </c>
      <c r="J53" s="95" t="s">
        <v>418</v>
      </c>
      <c r="K53" s="95" t="s">
        <v>419</v>
      </c>
      <c r="L53" s="97" t="s">
        <v>420</v>
      </c>
      <c r="M53" s="97">
        <v>1</v>
      </c>
      <c r="N53" s="97">
        <v>2</v>
      </c>
      <c r="O53" s="97">
        <v>3</v>
      </c>
      <c r="P53" s="97">
        <v>4</v>
      </c>
      <c r="Q53" s="97">
        <v>5</v>
      </c>
    </row>
    <row r="54" spans="1:17" ht="15.75" hidden="1" x14ac:dyDescent="0.25">
      <c r="A54" s="84"/>
      <c r="B54" s="98">
        <v>0</v>
      </c>
      <c r="C54" s="99">
        <f t="shared" ref="C54:C65" si="0">IF(OR(puntosproljor&lt;620,nina=1),Q54,L54)</f>
        <v>207070.41153891236</v>
      </c>
      <c r="D54" s="653">
        <v>207070.41153891236</v>
      </c>
      <c r="E54" s="653">
        <v>147896.18150687192</v>
      </c>
      <c r="F54" s="653"/>
      <c r="G54" s="653"/>
      <c r="H54" s="653"/>
      <c r="I54" s="653"/>
      <c r="J54" s="653">
        <v>165386.9280206589</v>
      </c>
      <c r="K54" s="653">
        <v>146546.6339336634</v>
      </c>
      <c r="L54" s="101">
        <f t="shared" ref="L54:L65" si="1">IF(PUNTOSbasicos&gt;971,K54,J54)</f>
        <v>165386.9280206589</v>
      </c>
      <c r="M54" s="102">
        <f t="shared" ref="M54:M65" si="2">IF(PUNTOSbasicos&lt;972,D54,E54)</f>
        <v>207070.41153891236</v>
      </c>
      <c r="N54" s="102">
        <f t="shared" ref="N54:N65" si="3">IF(PUNTOSbasicos&lt;1170,M54,F54)</f>
        <v>207070.41153891236</v>
      </c>
      <c r="O54" s="102">
        <f t="shared" ref="O54:O65" si="4">IF(PUNTOSbasicos&lt;1401,N54,G54)</f>
        <v>207070.41153891236</v>
      </c>
      <c r="P54" s="102">
        <f t="shared" ref="P54:P65" si="5">IF(PUNTOSbasicos&lt;1943,O54,H54)</f>
        <v>207070.41153891236</v>
      </c>
      <c r="Q54" s="102">
        <f t="shared" ref="Q54:Q65" si="6">IF(PUNTOSbasicos&lt;=2220,P54,I54)</f>
        <v>207070.41153891236</v>
      </c>
    </row>
    <row r="55" spans="1:17" ht="15.75" hidden="1" x14ac:dyDescent="0.25">
      <c r="A55" s="84"/>
      <c r="B55" s="103">
        <v>0.1</v>
      </c>
      <c r="C55" s="99">
        <f t="shared" si="0"/>
        <v>253351.50628114733</v>
      </c>
      <c r="D55" s="653">
        <v>253351.50628114733</v>
      </c>
      <c r="E55" s="653">
        <v>151489.8919937209</v>
      </c>
      <c r="F55" s="653"/>
      <c r="G55" s="653"/>
      <c r="H55" s="653"/>
      <c r="I55" s="653"/>
      <c r="J55" s="653">
        <v>168980.63850750789</v>
      </c>
      <c r="K55" s="653">
        <v>150140.34442051241</v>
      </c>
      <c r="L55" s="101">
        <f t="shared" si="1"/>
        <v>168980.63850750789</v>
      </c>
      <c r="M55" s="102">
        <f t="shared" si="2"/>
        <v>253351.50628114733</v>
      </c>
      <c r="N55" s="102">
        <f t="shared" si="3"/>
        <v>253351.50628114733</v>
      </c>
      <c r="O55" s="102">
        <f t="shared" si="4"/>
        <v>253351.50628114733</v>
      </c>
      <c r="P55" s="102">
        <f t="shared" si="5"/>
        <v>253351.50628114733</v>
      </c>
      <c r="Q55" s="102">
        <f t="shared" si="6"/>
        <v>253351.50628114733</v>
      </c>
    </row>
    <row r="56" spans="1:17" ht="15.75" hidden="1" x14ac:dyDescent="0.25">
      <c r="A56" s="84"/>
      <c r="B56" s="104">
        <v>0.15</v>
      </c>
      <c r="C56" s="99">
        <f t="shared" si="0"/>
        <v>282318.49020891357</v>
      </c>
      <c r="D56" s="653">
        <v>282318.49020891357</v>
      </c>
      <c r="E56" s="653">
        <v>183397.41554898664</v>
      </c>
      <c r="F56" s="653">
        <v>204414.52224700488</v>
      </c>
      <c r="G56" s="653">
        <v>174751.16160537963</v>
      </c>
      <c r="H56" s="653">
        <v>181830.5679428039</v>
      </c>
      <c r="I56" s="653"/>
      <c r="J56" s="653">
        <v>215261.73324974286</v>
      </c>
      <c r="K56" s="653">
        <v>196422.70992317414</v>
      </c>
      <c r="L56" s="101">
        <f t="shared" si="1"/>
        <v>215261.73324974286</v>
      </c>
      <c r="M56" s="102">
        <f t="shared" si="2"/>
        <v>282318.49020891357</v>
      </c>
      <c r="N56" s="102">
        <f t="shared" si="3"/>
        <v>282318.49020891357</v>
      </c>
      <c r="O56" s="102">
        <f t="shared" si="4"/>
        <v>282318.49020891357</v>
      </c>
      <c r="P56" s="102">
        <f t="shared" si="5"/>
        <v>282318.49020891357</v>
      </c>
      <c r="Q56" s="102">
        <f t="shared" si="6"/>
        <v>282318.49020891357</v>
      </c>
    </row>
    <row r="57" spans="1:17" ht="15.75" hidden="1" x14ac:dyDescent="0.25">
      <c r="A57" s="84"/>
      <c r="B57" s="104">
        <v>0.3</v>
      </c>
      <c r="C57" s="99">
        <f t="shared" si="0"/>
        <v>294297.94875188579</v>
      </c>
      <c r="D57" s="653">
        <v>294297.94875188579</v>
      </c>
      <c r="E57" s="653">
        <v>188514.7677875089</v>
      </c>
      <c r="F57" s="653">
        <v>204414.52224700488</v>
      </c>
      <c r="G57" s="653">
        <v>174751.16160537963</v>
      </c>
      <c r="H57" s="653">
        <v>181830.5679428039</v>
      </c>
      <c r="I57" s="653"/>
      <c r="J57" s="653">
        <v>272215.94481625111</v>
      </c>
      <c r="K57" s="653">
        <v>242703.80466540912</v>
      </c>
      <c r="L57" s="101">
        <f t="shared" si="1"/>
        <v>272215.94481625111</v>
      </c>
      <c r="M57" s="102">
        <f t="shared" si="2"/>
        <v>294297.94875188579</v>
      </c>
      <c r="N57" s="102">
        <f t="shared" si="3"/>
        <v>294297.94875188579</v>
      </c>
      <c r="O57" s="102">
        <f t="shared" si="4"/>
        <v>294297.94875188579</v>
      </c>
      <c r="P57" s="102">
        <f t="shared" si="5"/>
        <v>294297.94875188579</v>
      </c>
      <c r="Q57" s="102">
        <f t="shared" si="6"/>
        <v>294297.94875188579</v>
      </c>
    </row>
    <row r="58" spans="1:17" ht="15.75" hidden="1" x14ac:dyDescent="0.25">
      <c r="A58" s="84"/>
      <c r="B58" s="104">
        <v>0.4</v>
      </c>
      <c r="C58" s="99">
        <f t="shared" si="0"/>
        <v>274913.76920224132</v>
      </c>
      <c r="D58" s="653">
        <v>274913.76920224132</v>
      </c>
      <c r="E58" s="653">
        <v>193959.97621613264</v>
      </c>
      <c r="F58" s="653">
        <v>195115.09744404838</v>
      </c>
      <c r="G58" s="653">
        <v>177255.8304065039</v>
      </c>
      <c r="H58" s="653">
        <v>181830.5679428039</v>
      </c>
      <c r="I58" s="653">
        <v>167673.02602838216</v>
      </c>
      <c r="J58" s="653">
        <v>293668.92234064458</v>
      </c>
      <c r="K58" s="653">
        <v>247561.92177687434</v>
      </c>
      <c r="L58" s="101">
        <f t="shared" si="1"/>
        <v>293668.92234064458</v>
      </c>
      <c r="M58" s="102">
        <f t="shared" si="2"/>
        <v>274913.76920224132</v>
      </c>
      <c r="N58" s="102">
        <f t="shared" si="3"/>
        <v>274913.76920224132</v>
      </c>
      <c r="O58" s="102">
        <f t="shared" si="4"/>
        <v>274913.76920224132</v>
      </c>
      <c r="P58" s="102">
        <f t="shared" si="5"/>
        <v>274913.76920224132</v>
      </c>
      <c r="Q58" s="102">
        <f t="shared" si="6"/>
        <v>274913.76920224132</v>
      </c>
    </row>
    <row r="59" spans="1:17" ht="15.75" hidden="1" x14ac:dyDescent="0.25">
      <c r="A59" s="84"/>
      <c r="B59" s="104">
        <v>0.5</v>
      </c>
      <c r="C59" s="99">
        <f t="shared" si="0"/>
        <v>251718.57913277359</v>
      </c>
      <c r="D59" s="653">
        <v>251718.57913277359</v>
      </c>
      <c r="E59" s="653">
        <v>201038.11179313014</v>
      </c>
      <c r="F59" s="653">
        <v>195115.09744404838</v>
      </c>
      <c r="G59" s="653">
        <v>177255.8304065039</v>
      </c>
      <c r="H59" s="653">
        <v>181830.5679428039</v>
      </c>
      <c r="I59" s="653">
        <v>154671.87610230289</v>
      </c>
      <c r="J59" s="653">
        <v>306082.9809495653</v>
      </c>
      <c r="K59" s="653">
        <v>259867.96574952133</v>
      </c>
      <c r="L59" s="101">
        <f t="shared" si="1"/>
        <v>306082.9809495653</v>
      </c>
      <c r="M59" s="102">
        <f t="shared" si="2"/>
        <v>251718.57913277359</v>
      </c>
      <c r="N59" s="102">
        <f t="shared" si="3"/>
        <v>251718.57913277359</v>
      </c>
      <c r="O59" s="102">
        <f t="shared" si="4"/>
        <v>251718.57913277359</v>
      </c>
      <c r="P59" s="102">
        <f t="shared" si="5"/>
        <v>251718.57913277359</v>
      </c>
      <c r="Q59" s="102">
        <f t="shared" si="6"/>
        <v>251718.57913277359</v>
      </c>
    </row>
    <row r="60" spans="1:17" ht="15.75" hidden="1" x14ac:dyDescent="0.25">
      <c r="A60" s="84"/>
      <c r="B60" s="104">
        <v>0.6</v>
      </c>
      <c r="C60" s="99">
        <f t="shared" si="0"/>
        <v>252589.05002509736</v>
      </c>
      <c r="D60" s="653">
        <v>252589.05002509736</v>
      </c>
      <c r="E60" s="653">
        <v>198491.50789792312</v>
      </c>
      <c r="F60" s="653">
        <v>198491.50789792312</v>
      </c>
      <c r="G60" s="653">
        <v>178454.15748892914</v>
      </c>
      <c r="H60" s="653">
        <v>172313.84310687316</v>
      </c>
      <c r="I60" s="653">
        <v>162295.16790237615</v>
      </c>
      <c r="J60" s="653">
        <v>318497.03955848608</v>
      </c>
      <c r="K60" s="653">
        <v>265311.90341771836</v>
      </c>
      <c r="L60" s="101">
        <f t="shared" si="1"/>
        <v>318497.03955848608</v>
      </c>
      <c r="M60" s="102">
        <f t="shared" si="2"/>
        <v>252589.05002509736</v>
      </c>
      <c r="N60" s="102">
        <f t="shared" si="3"/>
        <v>252589.05002509736</v>
      </c>
      <c r="O60" s="102">
        <f t="shared" si="4"/>
        <v>252589.05002509736</v>
      </c>
      <c r="P60" s="102">
        <f t="shared" si="5"/>
        <v>252589.05002509736</v>
      </c>
      <c r="Q60" s="102">
        <f t="shared" si="6"/>
        <v>252589.05002509736</v>
      </c>
    </row>
    <row r="61" spans="1:17" ht="15.75" hidden="1" x14ac:dyDescent="0.25">
      <c r="A61" s="84"/>
      <c r="B61" s="104">
        <v>0.7</v>
      </c>
      <c r="C61" s="99">
        <f t="shared" si="0"/>
        <v>232727.06455499487</v>
      </c>
      <c r="D61" s="653">
        <v>232727.06455499487</v>
      </c>
      <c r="E61" s="653">
        <v>207311.85601999488</v>
      </c>
      <c r="F61" s="653">
        <v>231596.08777518736</v>
      </c>
      <c r="G61" s="653">
        <v>175035.81194097165</v>
      </c>
      <c r="H61" s="653">
        <v>172313.84310687316</v>
      </c>
      <c r="I61" s="653">
        <v>162295.16790237615</v>
      </c>
      <c r="J61" s="653">
        <v>310941.09806103056</v>
      </c>
      <c r="K61" s="653">
        <v>270757.1118463421</v>
      </c>
      <c r="L61" s="101">
        <f t="shared" si="1"/>
        <v>310941.09806103056</v>
      </c>
      <c r="M61" s="102">
        <f t="shared" si="2"/>
        <v>232727.06455499487</v>
      </c>
      <c r="N61" s="102">
        <f t="shared" si="3"/>
        <v>232727.06455499487</v>
      </c>
      <c r="O61" s="102">
        <f t="shared" si="4"/>
        <v>232727.06455499487</v>
      </c>
      <c r="P61" s="102">
        <f t="shared" si="5"/>
        <v>232727.06455499487</v>
      </c>
      <c r="Q61" s="102">
        <f t="shared" si="6"/>
        <v>232727.06455499487</v>
      </c>
    </row>
    <row r="62" spans="1:17" ht="15.75" hidden="1" x14ac:dyDescent="0.25">
      <c r="A62" s="84"/>
      <c r="B62" s="104">
        <v>0.8</v>
      </c>
      <c r="C62" s="99">
        <f t="shared" si="0"/>
        <v>262892.37556518632</v>
      </c>
      <c r="D62" s="653">
        <v>262892.37556518632</v>
      </c>
      <c r="E62" s="653">
        <v>228547.53351141411</v>
      </c>
      <c r="F62" s="653">
        <v>246297.5151522581</v>
      </c>
      <c r="G62" s="653">
        <v>213694.88564356012</v>
      </c>
      <c r="H62" s="653">
        <v>203893.51047203736</v>
      </c>
      <c r="I62" s="653">
        <v>168829.41801672464</v>
      </c>
      <c r="J62" s="653">
        <v>321394.37333147606</v>
      </c>
      <c r="K62" s="653">
        <v>274241.53693649056</v>
      </c>
      <c r="L62" s="101">
        <f t="shared" si="1"/>
        <v>321394.37333147606</v>
      </c>
      <c r="M62" s="102">
        <f t="shared" si="2"/>
        <v>262892.37556518632</v>
      </c>
      <c r="N62" s="102">
        <f t="shared" si="3"/>
        <v>262892.37556518632</v>
      </c>
      <c r="O62" s="102">
        <f t="shared" si="4"/>
        <v>262892.37556518632</v>
      </c>
      <c r="P62" s="102">
        <f t="shared" si="5"/>
        <v>262892.37556518632</v>
      </c>
      <c r="Q62" s="102">
        <f t="shared" si="6"/>
        <v>262892.37556518632</v>
      </c>
    </row>
    <row r="63" spans="1:17" ht="15.75" hidden="1" x14ac:dyDescent="0.25">
      <c r="A63" s="84"/>
      <c r="B63" s="104">
        <v>1</v>
      </c>
      <c r="C63" s="99">
        <f t="shared" si="0"/>
        <v>304214.96312224283</v>
      </c>
      <c r="D63" s="653">
        <v>304214.96312224283</v>
      </c>
      <c r="E63" s="653">
        <v>258321.45031016661</v>
      </c>
      <c r="F63" s="653">
        <v>249670.1133248526</v>
      </c>
      <c r="G63" s="653">
        <v>208750.35682307588</v>
      </c>
      <c r="H63" s="653">
        <v>213076.02531573287</v>
      </c>
      <c r="I63" s="653">
        <v>167656.50614283441</v>
      </c>
      <c r="J63" s="653">
        <v>331707.86495497904</v>
      </c>
      <c r="K63" s="653">
        <v>277528.99416049285</v>
      </c>
      <c r="L63" s="101">
        <f t="shared" si="1"/>
        <v>331707.86495497904</v>
      </c>
      <c r="M63" s="102">
        <f t="shared" si="2"/>
        <v>304214.96312224283</v>
      </c>
      <c r="N63" s="102">
        <f t="shared" si="3"/>
        <v>304214.96312224283</v>
      </c>
      <c r="O63" s="102">
        <f t="shared" si="4"/>
        <v>304214.96312224283</v>
      </c>
      <c r="P63" s="102">
        <f t="shared" si="5"/>
        <v>304214.96312224283</v>
      </c>
      <c r="Q63" s="102">
        <f t="shared" si="6"/>
        <v>304214.96312224283</v>
      </c>
    </row>
    <row r="64" spans="1:17" ht="15.75" hidden="1" x14ac:dyDescent="0.25">
      <c r="A64" s="84"/>
      <c r="B64" s="104">
        <v>1.1000000000000001</v>
      </c>
      <c r="C64" s="99">
        <f t="shared" si="0"/>
        <v>330710.31801998027</v>
      </c>
      <c r="D64" s="653">
        <v>330710.31801998027</v>
      </c>
      <c r="E64" s="653">
        <v>279517.73422835657</v>
      </c>
      <c r="F64" s="653">
        <v>243895.7779457006</v>
      </c>
      <c r="G64" s="653">
        <v>208750.35682307588</v>
      </c>
      <c r="H64" s="653">
        <v>216644.32059404688</v>
      </c>
      <c r="I64" s="653">
        <v>171116.78678487465</v>
      </c>
      <c r="J64" s="653">
        <v>340467.2165765668</v>
      </c>
      <c r="K64" s="653">
        <v>282828.0651400403</v>
      </c>
      <c r="L64" s="101">
        <f t="shared" si="1"/>
        <v>340467.2165765668</v>
      </c>
      <c r="M64" s="102">
        <f t="shared" si="2"/>
        <v>330710.31801998027</v>
      </c>
      <c r="N64" s="102">
        <f t="shared" si="3"/>
        <v>330710.31801998027</v>
      </c>
      <c r="O64" s="102">
        <f t="shared" si="4"/>
        <v>330710.31801998027</v>
      </c>
      <c r="P64" s="102">
        <f t="shared" si="5"/>
        <v>330710.31801998027</v>
      </c>
      <c r="Q64" s="102">
        <f t="shared" si="6"/>
        <v>330710.31801998027</v>
      </c>
    </row>
    <row r="65" spans="1:17" ht="16.5" hidden="1" thickBot="1" x14ac:dyDescent="0.3">
      <c r="A65" s="84"/>
      <c r="B65" s="105">
        <v>1.2</v>
      </c>
      <c r="C65" s="99">
        <f t="shared" si="0"/>
        <v>339145.62573274679</v>
      </c>
      <c r="D65" s="653">
        <v>339145.62573274679</v>
      </c>
      <c r="E65" s="653">
        <v>284707.51981120359</v>
      </c>
      <c r="F65" s="653">
        <v>261198.4519163286</v>
      </c>
      <c r="G65" s="653">
        <v>210481.13252430936</v>
      </c>
      <c r="H65" s="653">
        <v>220104.60123608712</v>
      </c>
      <c r="I65" s="653">
        <v>171116.78678487465</v>
      </c>
      <c r="J65" s="653">
        <v>342196.72151737352</v>
      </c>
      <c r="K65" s="653">
        <v>284773.59935339459</v>
      </c>
      <c r="L65" s="101">
        <f t="shared" si="1"/>
        <v>342196.72151737352</v>
      </c>
      <c r="M65" s="102">
        <f t="shared" si="2"/>
        <v>339145.62573274679</v>
      </c>
      <c r="N65" s="102">
        <f t="shared" si="3"/>
        <v>339145.62573274679</v>
      </c>
      <c r="O65" s="102">
        <f t="shared" si="4"/>
        <v>339145.62573274679</v>
      </c>
      <c r="P65" s="102">
        <f t="shared" si="5"/>
        <v>339145.62573274679</v>
      </c>
      <c r="Q65" s="102">
        <f t="shared" si="6"/>
        <v>339145.62573274679</v>
      </c>
    </row>
    <row r="66" spans="1:17" ht="15.75" hidden="1" x14ac:dyDescent="0.25">
      <c r="A66" s="84"/>
      <c r="B66" s="106"/>
      <c r="C66" s="107"/>
      <c r="D66" s="100"/>
      <c r="E66" s="100"/>
      <c r="F66" s="100"/>
      <c r="G66" s="100"/>
      <c r="H66" s="100"/>
      <c r="I66" s="100"/>
      <c r="J66" s="100"/>
      <c r="K66" s="100"/>
      <c r="L66" s="108"/>
      <c r="M66" s="108"/>
      <c r="N66" s="108"/>
      <c r="O66" s="108"/>
      <c r="P66" s="108"/>
      <c r="Q66" s="108"/>
    </row>
    <row r="67" spans="1:17" ht="15.75" hidden="1" x14ac:dyDescent="0.25">
      <c r="A67" s="84"/>
      <c r="B67" s="106"/>
      <c r="C67" s="107"/>
      <c r="D67" s="100"/>
      <c r="E67" s="100"/>
      <c r="F67" s="100"/>
      <c r="G67" s="100"/>
      <c r="H67" s="100"/>
      <c r="I67" s="100"/>
      <c r="J67" s="100"/>
      <c r="K67" s="100"/>
      <c r="L67" s="108"/>
      <c r="M67" s="108"/>
      <c r="N67" s="108"/>
      <c r="O67" s="108"/>
      <c r="P67" s="108"/>
      <c r="Q67" s="108"/>
    </row>
    <row r="68" spans="1:17" ht="15.75" hidden="1" x14ac:dyDescent="0.25">
      <c r="A68" s="84"/>
      <c r="B68" s="106"/>
      <c r="C68" s="107"/>
      <c r="D68" s="109"/>
      <c r="E68" s="110"/>
      <c r="F68" s="110"/>
      <c r="G68" s="110"/>
      <c r="H68" s="110"/>
      <c r="I68" s="110"/>
      <c r="J68" s="110"/>
      <c r="K68" s="110"/>
      <c r="L68" s="108"/>
      <c r="M68" s="20"/>
      <c r="N68" s="20"/>
      <c r="O68" s="20"/>
      <c r="P68" s="20"/>
      <c r="Q68" s="20"/>
    </row>
    <row r="69" spans="1:17" ht="15.75" hidden="1" x14ac:dyDescent="0.25">
      <c r="A69" s="84"/>
      <c r="B69" s="106"/>
      <c r="C69" s="107"/>
      <c r="D69" s="109"/>
      <c r="E69" s="110"/>
      <c r="F69" s="110"/>
      <c r="G69" s="110"/>
      <c r="H69" s="110"/>
      <c r="I69" s="110"/>
      <c r="J69" s="110"/>
      <c r="K69" s="110"/>
      <c r="L69" s="108"/>
      <c r="M69" s="20"/>
      <c r="N69" s="20"/>
      <c r="O69" s="20"/>
      <c r="P69" s="20"/>
      <c r="Q69" s="20"/>
    </row>
    <row r="70" spans="1:17" hidden="1" x14ac:dyDescent="0.25">
      <c r="A70" s="84"/>
      <c r="B70" s="111"/>
      <c r="C70" s="91"/>
      <c r="D70" s="112"/>
      <c r="E70" s="91"/>
      <c r="F70" s="91"/>
      <c r="G70" s="113"/>
      <c r="H70" s="91"/>
      <c r="I70" s="91"/>
      <c r="J70" s="91"/>
      <c r="K70" s="91"/>
      <c r="L70" s="91"/>
      <c r="M70" s="91"/>
      <c r="N70" s="91"/>
      <c r="O70" s="91"/>
      <c r="P70" s="91"/>
      <c r="Q70" s="91"/>
    </row>
    <row r="71" spans="1:17" ht="15.75" hidden="1" x14ac:dyDescent="0.25">
      <c r="A71" s="79"/>
      <c r="B71" s="72"/>
      <c r="C71" s="20"/>
      <c r="D71" s="114"/>
      <c r="G71" s="73"/>
    </row>
    <row r="72" spans="1:17" x14ac:dyDescent="0.25">
      <c r="A72" s="115"/>
      <c r="B72" s="116"/>
      <c r="C72" s="117"/>
      <c r="D72" s="118"/>
      <c r="E72" s="117"/>
      <c r="F72" s="119"/>
      <c r="G72" s="117"/>
      <c r="H72" s="117"/>
      <c r="I72" s="116"/>
      <c r="J72" s="117"/>
      <c r="K72" s="117"/>
    </row>
    <row r="73" spans="1:17" ht="26.25" x14ac:dyDescent="0.4">
      <c r="B73" s="24"/>
      <c r="C73" s="120" t="s">
        <v>421</v>
      </c>
      <c r="D73" s="25"/>
      <c r="E73" s="24"/>
      <c r="F73" s="121"/>
      <c r="G73" s="122" t="s">
        <v>421</v>
      </c>
      <c r="H73" s="24"/>
      <c r="I73" s="24"/>
      <c r="J73" s="122" t="s">
        <v>421</v>
      </c>
      <c r="K73" s="24"/>
      <c r="Q73" s="123"/>
    </row>
    <row r="74" spans="1:17" ht="15.75" thickBot="1" x14ac:dyDescent="0.3">
      <c r="D74" s="69"/>
      <c r="G74" s="73"/>
      <c r="Q74" s="123"/>
    </row>
    <row r="75" spans="1:17" ht="15.75" x14ac:dyDescent="0.25">
      <c r="A75" s="125" t="s">
        <v>0</v>
      </c>
      <c r="B75" s="125" t="s">
        <v>422</v>
      </c>
      <c r="C75" s="125" t="s">
        <v>423</v>
      </c>
      <c r="D75" s="126" t="s">
        <v>424</v>
      </c>
      <c r="E75" s="127" t="s">
        <v>425</v>
      </c>
      <c r="F75" s="128" t="s">
        <v>426</v>
      </c>
      <c r="G75" s="129" t="s">
        <v>427</v>
      </c>
      <c r="H75" s="130" t="s">
        <v>428</v>
      </c>
      <c r="I75" s="131" t="s">
        <v>429</v>
      </c>
      <c r="J75" s="132"/>
      <c r="K75" s="132"/>
      <c r="L75" s="132"/>
      <c r="P75" s="133"/>
      <c r="Q75" s="134"/>
    </row>
    <row r="76" spans="1:17" ht="27" thickBot="1" x14ac:dyDescent="0.45">
      <c r="A76" s="135">
        <v>749</v>
      </c>
      <c r="B76" s="136">
        <f>LOOKUP($A$76,numcargo,punbascargo)</f>
        <v>971</v>
      </c>
      <c r="C76" s="136">
        <f>LOOKUP($A$76,numcargo,tardif)</f>
        <v>0</v>
      </c>
      <c r="D76" s="137">
        <f>LOOKUP($A$76,numcargo,proljor)</f>
        <v>0</v>
      </c>
      <c r="E76" s="138"/>
      <c r="F76" s="137">
        <f>LOOKUP($A$76,numcargo,puntoscompbas2016)</f>
        <v>414.7</v>
      </c>
      <c r="G76" s="137"/>
      <c r="H76" s="137">
        <f>LOOKUP($A$76,numcargo,adicnina)</f>
        <v>0</v>
      </c>
      <c r="I76" s="131">
        <f>LOOKUP($A$76,numcargo,adicdir2022)</f>
        <v>0</v>
      </c>
      <c r="J76" s="132"/>
      <c r="K76" s="132"/>
      <c r="L76" s="132"/>
      <c r="P76" s="123"/>
      <c r="Q76" s="124"/>
    </row>
    <row r="77" spans="1:17" ht="21" thickBot="1" x14ac:dyDescent="0.3">
      <c r="A77" s="139"/>
      <c r="B77" s="140" t="str">
        <f>LOOKUP(A76,numcargo,nombrecargo)</f>
        <v>Maestro De Ciclo</v>
      </c>
      <c r="C77" s="141"/>
      <c r="D77" s="142"/>
      <c r="E77" s="143"/>
      <c r="F77" s="144"/>
      <c r="G77" s="145"/>
      <c r="H77" s="624"/>
      <c r="I77" s="626" t="s">
        <v>517</v>
      </c>
      <c r="J77" s="146"/>
      <c r="K77" s="147"/>
      <c r="L77" s="144"/>
      <c r="M77" s="144"/>
      <c r="N77" s="145"/>
      <c r="O77" s="145"/>
      <c r="P77" s="145"/>
      <c r="Q77" s="133"/>
    </row>
    <row r="78" spans="1:17" ht="17.25" thickTop="1" thickBot="1" x14ac:dyDescent="0.3">
      <c r="B78" s="148" t="s">
        <v>430</v>
      </c>
      <c r="C78" s="132"/>
      <c r="D78" s="149"/>
      <c r="E78" s="132"/>
      <c r="F78" s="150" t="s">
        <v>431</v>
      </c>
      <c r="H78" s="625"/>
      <c r="I78" s="627">
        <f>LOOKUP($A$76,numcargo,punexten)</f>
        <v>510</v>
      </c>
      <c r="Q78" s="123"/>
    </row>
    <row r="79" spans="1:17" ht="17.25" thickTop="1" thickBot="1" x14ac:dyDescent="0.3">
      <c r="A79" s="20"/>
      <c r="B79" s="151">
        <v>0</v>
      </c>
      <c r="D79" s="69"/>
      <c r="E79" s="642">
        <v>120</v>
      </c>
      <c r="F79" s="643">
        <f>E79/120</f>
        <v>1</v>
      </c>
      <c r="G79" s="20"/>
      <c r="H79" s="132" t="s">
        <v>432</v>
      </c>
      <c r="I79" s="132"/>
      <c r="Q79" s="133"/>
    </row>
    <row r="80" spans="1:17" ht="33" thickTop="1" thickBot="1" x14ac:dyDescent="0.55000000000000004">
      <c r="A80" s="20"/>
      <c r="B80" s="19"/>
      <c r="C80" s="647" t="s">
        <v>518</v>
      </c>
      <c r="D80" s="648">
        <v>1</v>
      </c>
      <c r="E80" s="649" t="s">
        <v>434</v>
      </c>
      <c r="F80" s="648">
        <v>0</v>
      </c>
      <c r="G80" s="650" t="str">
        <f>IF(AND(nina=1,NEP=1),"No pueden estar ambos en 1","")</f>
        <v/>
      </c>
      <c r="H80" s="651"/>
      <c r="I80" s="652"/>
      <c r="Q80" s="123"/>
    </row>
    <row r="81" spans="1:22" ht="19.5" thickTop="1" thickBot="1" x14ac:dyDescent="0.3">
      <c r="A81" s="20"/>
      <c r="C81" s="376" t="s">
        <v>1</v>
      </c>
      <c r="D81" s="644" t="s">
        <v>433</v>
      </c>
      <c r="E81" s="645"/>
      <c r="F81" s="646">
        <v>0.82</v>
      </c>
      <c r="J81" s="153">
        <f>A76</f>
        <v>749</v>
      </c>
      <c r="K81" s="154" t="str">
        <f>B77</f>
        <v>Maestro De Ciclo</v>
      </c>
      <c r="L81" s="155">
        <f>porcantigcargo</f>
        <v>1.2</v>
      </c>
      <c r="Q81" s="133"/>
    </row>
    <row r="82" spans="1:22" ht="18" x14ac:dyDescent="0.25">
      <c r="A82" s="20"/>
      <c r="C82" s="20"/>
      <c r="D82" s="156"/>
      <c r="E82" s="157"/>
      <c r="F82" s="158"/>
      <c r="I82" s="159">
        <v>45992</v>
      </c>
      <c r="J82" s="160">
        <f>Q90</f>
        <v>1258925.0835670221</v>
      </c>
      <c r="K82" s="161"/>
      <c r="L82" s="96"/>
      <c r="M82" s="23"/>
      <c r="Q82" s="133"/>
    </row>
    <row r="83" spans="1:22" ht="18" x14ac:dyDescent="0.25">
      <c r="A83" s="20"/>
      <c r="B83" s="20"/>
      <c r="C83" s="20"/>
      <c r="D83" s="149"/>
      <c r="E83" s="132"/>
      <c r="F83" s="132"/>
      <c r="G83" s="20"/>
      <c r="I83" s="159">
        <v>46054</v>
      </c>
      <c r="J83" s="160">
        <f>O90</f>
        <v>1288925.0835670221</v>
      </c>
      <c r="K83" s="162">
        <f>J83-$J$82</f>
        <v>30000</v>
      </c>
      <c r="L83" s="163">
        <f>K83/J$82</f>
        <v>2.38298532546499E-2</v>
      </c>
      <c r="M83" s="574" t="s">
        <v>501</v>
      </c>
      <c r="N83" s="573"/>
      <c r="O83" s="573"/>
      <c r="Q83" s="123"/>
    </row>
    <row r="84" spans="1:22" ht="16.5" thickBot="1" x14ac:dyDescent="0.3">
      <c r="A84" s="20"/>
      <c r="B84" s="20"/>
      <c r="C84" s="164"/>
      <c r="D84" s="149"/>
      <c r="E84" s="132"/>
      <c r="F84" s="132"/>
      <c r="G84" s="165"/>
      <c r="I84" s="159">
        <v>46143</v>
      </c>
      <c r="J84" s="160">
        <f>M90</f>
        <v>1331390.0303964524</v>
      </c>
      <c r="K84" s="162">
        <f>J84-$J$82</f>
        <v>72464.946829430293</v>
      </c>
      <c r="L84" s="163">
        <f>K84/J$82</f>
        <v>5.7560968301711049E-2</v>
      </c>
      <c r="M84" s="23"/>
      <c r="P84" s="86"/>
      <c r="Q84" s="133"/>
    </row>
    <row r="85" spans="1:22" ht="16.5" thickBot="1" x14ac:dyDescent="0.3">
      <c r="A85" s="132"/>
      <c r="B85" s="166" t="s">
        <v>435</v>
      </c>
      <c r="C85" s="167"/>
      <c r="D85" s="168">
        <v>1.2</v>
      </c>
      <c r="E85" s="132" t="s">
        <v>436</v>
      </c>
      <c r="F85" s="132"/>
      <c r="G85" s="169" t="s">
        <v>437</v>
      </c>
      <c r="H85" s="159"/>
      <c r="I85" s="159">
        <v>46204</v>
      </c>
      <c r="J85" s="600">
        <f>K90</f>
        <v>1369062.3485078462</v>
      </c>
      <c r="K85" s="162">
        <f t="shared" ref="K85:K86" si="7">J85-$J$82</f>
        <v>110137.26494082413</v>
      </c>
      <c r="L85" s="163">
        <f t="shared" ref="L85:L86" si="8">K85/J$82</f>
        <v>8.7485162046944537E-2</v>
      </c>
    </row>
    <row r="86" spans="1:22" ht="15.75" x14ac:dyDescent="0.25">
      <c r="A86" s="132"/>
      <c r="B86" s="132"/>
      <c r="C86" s="132"/>
      <c r="D86" s="170"/>
      <c r="E86" s="132"/>
      <c r="F86" s="132"/>
      <c r="G86" s="132"/>
      <c r="H86" s="159"/>
      <c r="I86" s="159">
        <v>46266</v>
      </c>
      <c r="J86" s="160">
        <f>I90</f>
        <v>1414331.9174383704</v>
      </c>
      <c r="K86" s="162">
        <f t="shared" si="7"/>
        <v>155406.8338713483</v>
      </c>
      <c r="L86" s="163">
        <f t="shared" si="8"/>
        <v>0.12344406819746619</v>
      </c>
    </row>
    <row r="87" spans="1:22" ht="16.5" thickBot="1" x14ac:dyDescent="0.3">
      <c r="A87" s="132"/>
      <c r="B87" s="171" t="s">
        <v>438</v>
      </c>
      <c r="C87" s="171"/>
      <c r="D87" s="172">
        <f>PUNTOSbasicos</f>
        <v>971</v>
      </c>
      <c r="E87" s="132" t="s">
        <v>439</v>
      </c>
      <c r="F87" s="173" t="s">
        <v>440</v>
      </c>
      <c r="G87" s="174">
        <f>puntosproljornada</f>
        <v>0</v>
      </c>
      <c r="H87" s="159"/>
      <c r="I87" s="159">
        <v>46327</v>
      </c>
      <c r="J87" s="160">
        <f>G90</f>
        <v>1434412.2047996959</v>
      </c>
      <c r="K87" s="162">
        <f t="shared" ref="K87:K88" si="9">J87-$J$82</f>
        <v>175487.12123267376</v>
      </c>
      <c r="L87" s="163">
        <f t="shared" ref="L87:L88" si="10">K87/J$82</f>
        <v>0.13939441156851909</v>
      </c>
    </row>
    <row r="88" spans="1:22" ht="18.75" thickBot="1" x14ac:dyDescent="0.3">
      <c r="A88" s="132"/>
      <c r="B88" s="20"/>
      <c r="C88" s="20"/>
      <c r="D88" s="175"/>
      <c r="E88" s="611"/>
      <c r="F88" s="173"/>
      <c r="G88" s="611"/>
      <c r="H88" s="159"/>
      <c r="I88" s="159">
        <v>46357</v>
      </c>
      <c r="J88" s="160">
        <f>E90</f>
        <v>1461587.5270286901</v>
      </c>
      <c r="K88" s="162">
        <f t="shared" si="9"/>
        <v>202662.44346166798</v>
      </c>
      <c r="L88" s="163">
        <f t="shared" si="10"/>
        <v>0.16098054293067768</v>
      </c>
    </row>
    <row r="89" spans="1:22" ht="23.25" x14ac:dyDescent="0.35">
      <c r="A89" s="132"/>
      <c r="D89" s="640" t="s">
        <v>523</v>
      </c>
      <c r="E89" s="641">
        <f>E90-E92</f>
        <v>286619.20983714564</v>
      </c>
      <c r="F89" s="609"/>
      <c r="G89" s="641">
        <f>G90-G92</f>
        <v>281178.41824229946</v>
      </c>
      <c r="H89" s="609"/>
      <c r="I89" s="641">
        <f>I90-I92</f>
        <v>277158.128886502</v>
      </c>
      <c r="J89" s="609"/>
      <c r="K89" s="641">
        <f>K90-K92</f>
        <v>268094.67462222418</v>
      </c>
      <c r="L89" s="609" t="s">
        <v>513</v>
      </c>
      <c r="M89" s="641">
        <f>M90-M92</f>
        <v>260552.27162837307</v>
      </c>
      <c r="N89" s="637" t="s">
        <v>521</v>
      </c>
      <c r="P89" s="609" t="s">
        <v>514</v>
      </c>
      <c r="Q89" s="23"/>
      <c r="R89" s="23"/>
      <c r="S89" s="23"/>
      <c r="V89" s="177"/>
    </row>
    <row r="90" spans="1:22" ht="24" thickBot="1" x14ac:dyDescent="0.35">
      <c r="A90" s="132"/>
      <c r="B90" s="132"/>
      <c r="C90" s="132"/>
      <c r="D90" s="178" t="str">
        <f>D151</f>
        <v xml:space="preserve">Líquido </v>
      </c>
      <c r="E90" s="631">
        <f>E119</f>
        <v>1461587.5270286901</v>
      </c>
      <c r="F90" s="634"/>
      <c r="G90" s="631">
        <f>G119</f>
        <v>1434412.2047996959</v>
      </c>
      <c r="H90" s="634"/>
      <c r="I90" s="631">
        <f>I119</f>
        <v>1414331.9174383704</v>
      </c>
      <c r="J90" s="634"/>
      <c r="K90" s="631">
        <f>K119</f>
        <v>1369062.3485078462</v>
      </c>
      <c r="L90" s="634">
        <f>K90/1531473</f>
        <v>0.89395134521329878</v>
      </c>
      <c r="M90" s="638">
        <f>M119</f>
        <v>1331390.0303964524</v>
      </c>
      <c r="N90" s="634">
        <f>M90/1469768</f>
        <v>0.90585046782652257</v>
      </c>
      <c r="O90" s="633">
        <f>O119</f>
        <v>1288925.0835670221</v>
      </c>
      <c r="P90" s="180"/>
      <c r="Q90" s="179">
        <f>Q119</f>
        <v>1258925.0835670221</v>
      </c>
      <c r="R90" s="180"/>
    </row>
    <row r="91" spans="1:22" ht="24.75" thickTop="1" thickBot="1" x14ac:dyDescent="0.35">
      <c r="A91" s="132"/>
      <c r="B91" s="132"/>
      <c r="C91" s="132"/>
      <c r="D91" s="181" t="s">
        <v>442</v>
      </c>
      <c r="E91" s="631">
        <f>E121</f>
        <v>1416331.8623175619</v>
      </c>
      <c r="F91" s="634"/>
      <c r="G91" s="631">
        <f>G121</f>
        <v>1390015.6124456485</v>
      </c>
      <c r="H91" s="634"/>
      <c r="I91" s="631">
        <f>I121</f>
        <v>1370570.1076141859</v>
      </c>
      <c r="J91" s="634"/>
      <c r="K91" s="631">
        <f>K121</f>
        <v>1326731.6104096002</v>
      </c>
      <c r="L91" s="634">
        <f>K91/1531473</f>
        <v>0.86631080692222473</v>
      </c>
      <c r="M91" s="638">
        <f>M121</f>
        <v>1290250.1980340776</v>
      </c>
      <c r="N91" s="634">
        <f>M91/1469768</f>
        <v>0.87785976972833646</v>
      </c>
      <c r="O91" s="633">
        <f>O121</f>
        <v>1249127.6625901931</v>
      </c>
      <c r="P91" s="180"/>
      <c r="Q91" s="179">
        <f>Q121</f>
        <v>1219127.6625901931</v>
      </c>
      <c r="R91" s="180"/>
    </row>
    <row r="92" spans="1:22" ht="24" thickTop="1" x14ac:dyDescent="0.35">
      <c r="A92" s="132"/>
      <c r="B92" s="629" t="s">
        <v>522</v>
      </c>
      <c r="C92" s="639">
        <v>0.19</v>
      </c>
      <c r="D92" s="604" t="str">
        <f>"Con Desc. Reforma "&amp; descreformacargo*100&amp;" %"</f>
        <v>Con Desc. Reforma 19 %</v>
      </c>
      <c r="E92" s="605">
        <f>E119-(E110-E108)*descreformacargo</f>
        <v>1174968.3171915445</v>
      </c>
      <c r="F92" s="636">
        <f>E92/1531473</f>
        <v>0.76721451647632344</v>
      </c>
      <c r="G92" s="605">
        <f>G119-(G110-G108)*descreformacargo</f>
        <v>1153233.7865573964</v>
      </c>
      <c r="H92" s="636">
        <f>G92/1531473</f>
        <v>0.75302260409252819</v>
      </c>
      <c r="I92" s="605">
        <f>I119-(I110-I108)*descreformacargo</f>
        <v>1137173.7885518684</v>
      </c>
      <c r="J92" s="636">
        <f>I92/1531473</f>
        <v>0.74253596932617705</v>
      </c>
      <c r="K92" s="605">
        <f>K119-(K110-K108)*descreformacargo</f>
        <v>1100967.6738856221</v>
      </c>
      <c r="L92" s="636">
        <f>K92/1531473</f>
        <v>0.71889460270316363</v>
      </c>
      <c r="M92" s="605">
        <f>M119-(M110-M108)*descreformacargo</f>
        <v>1070837.7587680793</v>
      </c>
      <c r="N92" s="636">
        <f>M92/1469768</f>
        <v>0.728576046538011</v>
      </c>
      <c r="O92" s="605"/>
      <c r="P92" s="603"/>
      <c r="Q92" s="601"/>
      <c r="R92" s="602"/>
    </row>
    <row r="93" spans="1:22" ht="23.25" x14ac:dyDescent="0.3">
      <c r="A93" s="132"/>
      <c r="B93" s="599" t="s">
        <v>520</v>
      </c>
      <c r="C93" s="596"/>
      <c r="D93" s="606" t="s">
        <v>515</v>
      </c>
      <c r="E93" s="613">
        <f>0.82*E92/E90</f>
        <v>0.65919693639952226</v>
      </c>
      <c r="F93" s="614"/>
      <c r="G93" s="613">
        <f>0.82*G92/G90</f>
        <v>0.6592607772109117</v>
      </c>
      <c r="H93" s="614"/>
      <c r="I93" s="613">
        <f>0.82*I92/I90</f>
        <v>0.65930952636735995</v>
      </c>
      <c r="J93" s="614"/>
      <c r="K93" s="613">
        <f>0.82*K92/K90</f>
        <v>0.659424673806984</v>
      </c>
      <c r="L93" s="614"/>
      <c r="M93" s="613">
        <f>0.82*M92/M90</f>
        <v>0.6595264664317444</v>
      </c>
      <c r="N93" s="614"/>
      <c r="O93" s="615"/>
      <c r="P93" s="616"/>
      <c r="Q93" s="601"/>
      <c r="R93" s="602"/>
    </row>
    <row r="94" spans="1:22" ht="24" thickBot="1" x14ac:dyDescent="0.4">
      <c r="A94" s="132"/>
      <c r="B94" s="32"/>
      <c r="C94" s="182"/>
      <c r="D94" s="183"/>
      <c r="E94" s="21">
        <v>46357</v>
      </c>
      <c r="F94" s="22" cm="1">
        <f t="array" ref="F94">aumentodiciembre26</f>
        <v>0.14231041977499981</v>
      </c>
      <c r="G94" s="21">
        <v>46327</v>
      </c>
      <c r="H94" s="22" cm="1">
        <f t="array" ref="H94">aumentonoviembre26</f>
        <v>0.11991217624999972</v>
      </c>
      <c r="I94" s="21">
        <v>46266</v>
      </c>
      <c r="J94" s="22">
        <f>aumentoseptiembre26</f>
        <v>0.10336174999999992</v>
      </c>
      <c r="K94" s="21">
        <v>46204</v>
      </c>
      <c r="L94" s="22">
        <f>aumentojulio26</f>
        <v>6.6049999999999942E-2</v>
      </c>
      <c r="M94" s="21">
        <v>46143</v>
      </c>
      <c r="N94" s="22">
        <v>3.5000000000000003E-2</v>
      </c>
      <c r="O94" s="21">
        <v>46054</v>
      </c>
      <c r="P94" s="22">
        <v>0</v>
      </c>
      <c r="Q94" s="21">
        <v>45992</v>
      </c>
      <c r="R94" s="22"/>
    </row>
    <row r="95" spans="1:22" ht="16.5" thickBot="1" x14ac:dyDescent="0.3">
      <c r="A95" s="132"/>
      <c r="B95" s="184">
        <f t="shared" ref="B95:B105" si="11">B154</f>
        <v>400</v>
      </c>
      <c r="C95" s="185"/>
      <c r="D95" s="186" t="str">
        <f t="shared" ref="D95:G105" si="12">D154</f>
        <v>Sueldo básico</v>
      </c>
      <c r="E95" s="187">
        <f t="shared" ref="E95" si="13">E154</f>
        <v>240141.33491444576</v>
      </c>
      <c r="F95" s="188"/>
      <c r="G95" s="187">
        <f t="shared" si="12"/>
        <v>235432.68128867226</v>
      </c>
      <c r="H95" s="188"/>
      <c r="I95" s="187">
        <f t="shared" ref="I95:K95" si="14">I154</f>
        <v>231953.38057997273</v>
      </c>
      <c r="J95" s="188"/>
      <c r="K95" s="187">
        <f t="shared" si="14"/>
        <v>224109.54645407997</v>
      </c>
      <c r="L95" s="188"/>
      <c r="M95" s="187">
        <f t="shared" ref="M95:M108" si="15">M154</f>
        <v>217582.08393599998</v>
      </c>
      <c r="N95" s="188"/>
      <c r="O95" s="187">
        <f t="shared" ref="O95" si="16">O154</f>
        <v>210224.19519761164</v>
      </c>
      <c r="P95" s="188"/>
      <c r="Q95" s="187">
        <f t="shared" ref="Q95" si="17">Q154</f>
        <v>210224.19519761164</v>
      </c>
      <c r="R95" s="188"/>
    </row>
    <row r="96" spans="1:22" ht="16.5" thickBot="1" x14ac:dyDescent="0.3">
      <c r="A96" s="132"/>
      <c r="B96" s="131">
        <f t="shared" si="11"/>
        <v>542</v>
      </c>
      <c r="C96" s="131"/>
      <c r="D96" s="189" t="str">
        <f t="shared" si="12"/>
        <v>Dec 1266/08 Art 4º</v>
      </c>
      <c r="E96" s="190">
        <f t="shared" ref="E96" si="18">E155</f>
        <v>102560.87702267832</v>
      </c>
      <c r="F96" s="188"/>
      <c r="G96" s="190">
        <f t="shared" si="12"/>
        <v>100549.87943399836</v>
      </c>
      <c r="H96" s="188"/>
      <c r="I96" s="190">
        <f t="shared" ref="I96:K96" si="19">I155</f>
        <v>99063.920624628925</v>
      </c>
      <c r="J96" s="188"/>
      <c r="K96" s="190">
        <f t="shared" si="19"/>
        <v>95713.93297065598</v>
      </c>
      <c r="L96" s="188"/>
      <c r="M96" s="190">
        <f t="shared" si="15"/>
        <v>92926.148515199995</v>
      </c>
      <c r="N96" s="188"/>
      <c r="O96" s="190">
        <f t="shared" ref="O96" si="20">O155</f>
        <v>89783.701079762657</v>
      </c>
      <c r="P96" s="188"/>
      <c r="Q96" s="190">
        <f t="shared" ref="Q96" si="21">Q155</f>
        <v>89783.701079762657</v>
      </c>
      <c r="R96" s="188"/>
    </row>
    <row r="97" spans="1:18" ht="16.5" thickBot="1" x14ac:dyDescent="0.3">
      <c r="A97" s="132"/>
      <c r="B97" s="192" t="str">
        <f t="shared" si="11"/>
        <v>424/428</v>
      </c>
      <c r="C97" s="192"/>
      <c r="D97" s="189" t="str">
        <f t="shared" si="12"/>
        <v>Adic directivos</v>
      </c>
      <c r="E97" s="193">
        <f t="shared" ref="E97" si="22">E156</f>
        <v>0</v>
      </c>
      <c r="F97" s="188"/>
      <c r="G97" s="193">
        <f t="shared" si="12"/>
        <v>0</v>
      </c>
      <c r="H97" s="188"/>
      <c r="I97" s="193">
        <f t="shared" ref="I97:K97" si="23">I156</f>
        <v>0</v>
      </c>
      <c r="J97" s="188"/>
      <c r="K97" s="193">
        <f t="shared" si="23"/>
        <v>0</v>
      </c>
      <c r="L97" s="188"/>
      <c r="M97" s="193">
        <f t="shared" si="15"/>
        <v>0</v>
      </c>
      <c r="N97" s="188"/>
      <c r="O97" s="193">
        <f t="shared" ref="O97" si="24">O156</f>
        <v>0</v>
      </c>
      <c r="P97" s="188"/>
      <c r="Q97" s="193">
        <f t="shared" ref="Q97" si="25">Q156</f>
        <v>0</v>
      </c>
      <c r="R97" s="188"/>
    </row>
    <row r="98" spans="1:18" ht="16.5" thickBot="1" x14ac:dyDescent="0.3">
      <c r="A98" s="132"/>
      <c r="B98" s="194">
        <f t="shared" si="11"/>
        <v>430</v>
      </c>
      <c r="C98" s="194"/>
      <c r="D98" s="195" t="str">
        <f t="shared" si="12"/>
        <v>Adicional Nina</v>
      </c>
      <c r="E98" s="196">
        <f t="shared" ref="E98" si="26">E157</f>
        <v>0</v>
      </c>
      <c r="F98" s="188"/>
      <c r="G98" s="196">
        <f t="shared" si="12"/>
        <v>0</v>
      </c>
      <c r="H98" s="188"/>
      <c r="I98" s="196">
        <f t="shared" ref="I98:K98" si="27">I157</f>
        <v>0</v>
      </c>
      <c r="J98" s="188"/>
      <c r="K98" s="196">
        <f t="shared" si="27"/>
        <v>0</v>
      </c>
      <c r="L98" s="188"/>
      <c r="M98" s="196">
        <f t="shared" si="15"/>
        <v>0</v>
      </c>
      <c r="N98" s="188"/>
      <c r="O98" s="196">
        <f t="shared" ref="O98" si="28">O157</f>
        <v>0</v>
      </c>
      <c r="P98" s="188"/>
      <c r="Q98" s="196">
        <f t="shared" ref="Q98" si="29">Q157</f>
        <v>0</v>
      </c>
      <c r="R98" s="188"/>
    </row>
    <row r="99" spans="1:18" ht="16.5" thickBot="1" x14ac:dyDescent="0.3">
      <c r="A99" s="132"/>
      <c r="B99" s="197">
        <f t="shared" si="11"/>
        <v>404</v>
      </c>
      <c r="C99" s="198"/>
      <c r="D99" s="199" t="str">
        <f t="shared" si="12"/>
        <v>Función diferencial</v>
      </c>
      <c r="E99" s="190">
        <f t="shared" ref="E99" si="30">E158</f>
        <v>0</v>
      </c>
      <c r="F99" s="188"/>
      <c r="G99" s="190">
        <f t="shared" si="12"/>
        <v>0</v>
      </c>
      <c r="H99" s="188"/>
      <c r="I99" s="190">
        <f t="shared" ref="I99:K99" si="31">I158</f>
        <v>0</v>
      </c>
      <c r="J99" s="188"/>
      <c r="K99" s="190">
        <f t="shared" si="31"/>
        <v>0</v>
      </c>
      <c r="L99" s="188"/>
      <c r="M99" s="190">
        <f t="shared" si="15"/>
        <v>0</v>
      </c>
      <c r="N99" s="188"/>
      <c r="O99" s="190">
        <f t="shared" ref="O99" si="32">O158</f>
        <v>0</v>
      </c>
      <c r="P99" s="188"/>
      <c r="Q99" s="190">
        <f t="shared" ref="Q99" si="33">Q158</f>
        <v>0</v>
      </c>
      <c r="R99" s="188"/>
    </row>
    <row r="100" spans="1:18" ht="16.5" thickBot="1" x14ac:dyDescent="0.3">
      <c r="A100" s="132"/>
      <c r="B100" s="197">
        <f t="shared" si="11"/>
        <v>406</v>
      </c>
      <c r="C100" s="198"/>
      <c r="D100" s="189" t="str">
        <f t="shared" si="12"/>
        <v>Antigüedad</v>
      </c>
      <c r="E100" s="190">
        <f t="shared" ref="E100" si="34">E159</f>
        <v>587198.46994518826</v>
      </c>
      <c r="F100" s="188"/>
      <c r="G100" s="190">
        <f t="shared" si="12"/>
        <v>576167.12739724328</v>
      </c>
      <c r="H100" s="188"/>
      <c r="I100" s="190">
        <f t="shared" ref="I100:K100" si="35">I159</f>
        <v>568015.88906132348</v>
      </c>
      <c r="J100" s="188"/>
      <c r="K100" s="190">
        <f t="shared" si="35"/>
        <v>549639.50633944315</v>
      </c>
      <c r="L100" s="188"/>
      <c r="M100" s="190">
        <f t="shared" si="15"/>
        <v>534347.09353343991</v>
      </c>
      <c r="N100" s="188"/>
      <c r="O100" s="190">
        <f t="shared" ref="O100" si="36">O159</f>
        <v>517109.17425678152</v>
      </c>
      <c r="P100" s="188"/>
      <c r="Q100" s="190">
        <f t="shared" ref="Q100" si="37">Q159</f>
        <v>517109.17425678152</v>
      </c>
      <c r="R100" s="188"/>
    </row>
    <row r="101" spans="1:18" ht="16.5" thickBot="1" x14ac:dyDescent="0.3">
      <c r="A101" s="132"/>
      <c r="B101" s="197">
        <f t="shared" si="11"/>
        <v>408</v>
      </c>
      <c r="C101" s="198"/>
      <c r="D101" s="189" t="str">
        <f t="shared" si="12"/>
        <v>Bon zona esc</v>
      </c>
      <c r="E101" s="190">
        <f t="shared" ref="E101" si="38">E160</f>
        <v>0</v>
      </c>
      <c r="F101" s="188"/>
      <c r="G101" s="190">
        <f t="shared" si="12"/>
        <v>0</v>
      </c>
      <c r="H101" s="188"/>
      <c r="I101" s="190">
        <f t="shared" ref="I101:K101" si="39">I160</f>
        <v>0</v>
      </c>
      <c r="J101" s="188"/>
      <c r="K101" s="190">
        <f t="shared" si="39"/>
        <v>0</v>
      </c>
      <c r="L101" s="188"/>
      <c r="M101" s="190">
        <f t="shared" si="15"/>
        <v>0</v>
      </c>
      <c r="N101" s="188"/>
      <c r="O101" s="190">
        <f t="shared" ref="O101" si="40">O160</f>
        <v>0</v>
      </c>
      <c r="P101" s="188"/>
      <c r="Q101" s="190">
        <f t="shared" ref="Q101" si="41">Q160</f>
        <v>0</v>
      </c>
      <c r="R101" s="188"/>
    </row>
    <row r="102" spans="1:18" ht="16.5" thickBot="1" x14ac:dyDescent="0.3">
      <c r="A102" s="132"/>
      <c r="B102" s="197">
        <f t="shared" si="11"/>
        <v>416</v>
      </c>
      <c r="C102" s="198"/>
      <c r="D102" s="189" t="str">
        <f t="shared" si="12"/>
        <v>prolong. Jorn - Docente</v>
      </c>
      <c r="E102" s="190">
        <f t="shared" ref="E102" si="42">E161</f>
        <v>0</v>
      </c>
      <c r="F102" s="188"/>
      <c r="G102" s="190">
        <f t="shared" si="12"/>
        <v>0</v>
      </c>
      <c r="H102" s="188"/>
      <c r="I102" s="190">
        <f t="shared" ref="I102:K102" si="43">I161</f>
        <v>0</v>
      </c>
      <c r="J102" s="188"/>
      <c r="K102" s="190">
        <f t="shared" si="43"/>
        <v>0</v>
      </c>
      <c r="L102" s="188"/>
      <c r="M102" s="190">
        <f t="shared" si="15"/>
        <v>0</v>
      </c>
      <c r="N102" s="188"/>
      <c r="O102" s="190">
        <f t="shared" ref="O102" si="44">O161</f>
        <v>0</v>
      </c>
      <c r="P102" s="188"/>
      <c r="Q102" s="190">
        <f t="shared" ref="Q102" si="45">Q161</f>
        <v>0</v>
      </c>
      <c r="R102" s="188"/>
    </row>
    <row r="103" spans="1:18" ht="16.5" thickBot="1" x14ac:dyDescent="0.3">
      <c r="A103" s="132"/>
      <c r="B103" s="197">
        <f t="shared" si="11"/>
        <v>432</v>
      </c>
      <c r="C103" s="198"/>
      <c r="D103" s="189" t="str">
        <f t="shared" si="12"/>
        <v>Dto. 1109/05 (cod 06 act)</v>
      </c>
      <c r="E103" s="190">
        <f>E162</f>
        <v>317675.85731841571</v>
      </c>
      <c r="F103" s="188"/>
      <c r="G103" s="190">
        <f>G162</f>
        <v>311446.91893962323</v>
      </c>
      <c r="H103" s="188"/>
      <c r="I103" s="190">
        <f>I162</f>
        <v>306844.25511292933</v>
      </c>
      <c r="J103" s="188"/>
      <c r="K103" s="190">
        <f>K162</f>
        <v>296467.87933616363</v>
      </c>
      <c r="L103" s="188"/>
      <c r="M103" s="190">
        <f t="shared" si="15"/>
        <v>287832.89255938213</v>
      </c>
      <c r="N103" s="188"/>
      <c r="O103" s="190">
        <f>O162</f>
        <v>278099.41310085234</v>
      </c>
      <c r="P103" s="188"/>
      <c r="Q103" s="190">
        <f>Q162</f>
        <v>278099.41310085234</v>
      </c>
      <c r="R103" s="188"/>
    </row>
    <row r="104" spans="1:18" ht="16.5" thickBot="1" x14ac:dyDescent="0.3">
      <c r="A104" s="132"/>
      <c r="B104" s="197">
        <f t="shared" si="11"/>
        <v>434</v>
      </c>
      <c r="C104" s="198"/>
      <c r="D104" s="189" t="str">
        <f t="shared" si="12"/>
        <v>Traslado cod 188</v>
      </c>
      <c r="E104" s="190">
        <f t="shared" ref="E104" si="46">E163</f>
        <v>94061.625356775374</v>
      </c>
      <c r="F104" s="188"/>
      <c r="G104" s="190">
        <f t="shared" si="12"/>
        <v>92276.086624289572</v>
      </c>
      <c r="H104" s="188"/>
      <c r="I104" s="190">
        <f t="shared" ref="I104:K104" si="47">I163</f>
        <v>90956.723028856723</v>
      </c>
      <c r="J104" s="188"/>
      <c r="K104" s="190">
        <f t="shared" si="47"/>
        <v>87982.312346721505</v>
      </c>
      <c r="L104" s="188"/>
      <c r="M104" s="190">
        <f t="shared" si="15"/>
        <v>85507.074608467461</v>
      </c>
      <c r="N104" s="188"/>
      <c r="O104" s="190">
        <f t="shared" ref="O104" si="48">O163</f>
        <v>82716.939989345978</v>
      </c>
      <c r="P104" s="188"/>
      <c r="Q104" s="190">
        <f t="shared" ref="Q104" si="49">Q163</f>
        <v>82716.939989345978</v>
      </c>
      <c r="R104" s="188"/>
    </row>
    <row r="105" spans="1:18" ht="17.25" thickTop="1" thickBot="1" x14ac:dyDescent="0.3">
      <c r="A105" s="132"/>
      <c r="B105" s="200">
        <f t="shared" si="11"/>
        <v>437</v>
      </c>
      <c r="C105" s="201"/>
      <c r="D105" s="202" t="str">
        <f t="shared" si="12"/>
        <v>DTO. N1462/18 DOCENT</v>
      </c>
      <c r="E105" s="203">
        <f t="shared" ref="E105" si="50">E164</f>
        <v>20254.146129571753</v>
      </c>
      <c r="F105" s="188"/>
      <c r="G105" s="203">
        <f t="shared" si="12"/>
        <v>19857.006009384069</v>
      </c>
      <c r="H105" s="188"/>
      <c r="I105" s="203">
        <f t="shared" ref="I105:K105" si="51">I164</f>
        <v>19563.552718604999</v>
      </c>
      <c r="J105" s="188"/>
      <c r="K105" s="203">
        <f t="shared" si="51"/>
        <v>18901.983303000001</v>
      </c>
      <c r="L105" s="188"/>
      <c r="M105" s="203">
        <f t="shared" si="15"/>
        <v>18351.4401</v>
      </c>
      <c r="N105" s="188"/>
      <c r="O105" s="203">
        <f t="shared" ref="O105" si="52">O164</f>
        <v>17730.86</v>
      </c>
      <c r="P105" s="188"/>
      <c r="Q105" s="203">
        <f t="shared" ref="Q105" si="53">Q164</f>
        <v>17730.86</v>
      </c>
      <c r="R105" s="188"/>
    </row>
    <row r="106" spans="1:18" ht="21" thickBot="1" x14ac:dyDescent="0.35">
      <c r="A106" s="132"/>
      <c r="B106" s="204">
        <v>1622</v>
      </c>
      <c r="C106" s="205">
        <v>1</v>
      </c>
      <c r="D106" s="206" t="s">
        <v>443</v>
      </c>
      <c r="E106" s="207">
        <f>E165</f>
        <v>20500</v>
      </c>
      <c r="F106" s="208"/>
      <c r="G106" s="207">
        <f>G165</f>
        <v>20500</v>
      </c>
      <c r="H106" s="208"/>
      <c r="I106" s="207">
        <f>I165</f>
        <v>20500</v>
      </c>
      <c r="J106" s="208"/>
      <c r="K106" s="207">
        <f>K165</f>
        <v>20500</v>
      </c>
      <c r="L106" s="208"/>
      <c r="M106" s="207">
        <f t="shared" si="15"/>
        <v>20500</v>
      </c>
      <c r="N106" s="208"/>
      <c r="O106" s="207">
        <f>O165</f>
        <v>20500</v>
      </c>
      <c r="P106" s="208"/>
      <c r="Q106" s="207">
        <f>Q165</f>
        <v>20500</v>
      </c>
      <c r="R106" s="208"/>
    </row>
    <row r="107" spans="1:18" ht="20.25" x14ac:dyDescent="0.3">
      <c r="A107" s="132"/>
      <c r="B107" s="617"/>
      <c r="C107" s="618"/>
      <c r="D107" s="619" t="s">
        <v>516</v>
      </c>
      <c r="E107" s="620">
        <f>E166</f>
        <v>126129.8463505328</v>
      </c>
      <c r="F107" s="566"/>
      <c r="G107" s="620">
        <f>G166</f>
        <v>123656.71210836546</v>
      </c>
      <c r="H107" s="566"/>
      <c r="I107" s="620">
        <f>I166</f>
        <v>121829.27301316797</v>
      </c>
      <c r="J107" s="566"/>
      <c r="K107" s="620">
        <f>K166</f>
        <v>117709.44252479999</v>
      </c>
      <c r="L107" s="566"/>
      <c r="M107" s="620">
        <f t="shared" si="15"/>
        <v>114281.01215999998</v>
      </c>
      <c r="N107" s="566"/>
      <c r="O107" s="620">
        <f>O166</f>
        <v>110416.41560327697</v>
      </c>
      <c r="P107" s="566"/>
      <c r="Q107" s="620">
        <f>Q166</f>
        <v>110416.41560327697</v>
      </c>
      <c r="R107" s="566"/>
    </row>
    <row r="108" spans="1:18" ht="21" thickBot="1" x14ac:dyDescent="0.35">
      <c r="A108" s="132"/>
      <c r="B108" s="568">
        <v>1650</v>
      </c>
      <c r="C108" s="567">
        <v>1</v>
      </c>
      <c r="D108" s="569" t="s">
        <v>500</v>
      </c>
      <c r="E108" s="570">
        <f>E167</f>
        <v>30000</v>
      </c>
      <c r="F108" s="566"/>
      <c r="G108" s="570">
        <f>G167</f>
        <v>30000</v>
      </c>
      <c r="H108" s="566"/>
      <c r="I108" s="570">
        <f>I167</f>
        <v>30000</v>
      </c>
      <c r="J108" s="566"/>
      <c r="K108" s="570">
        <f>K167</f>
        <v>30000</v>
      </c>
      <c r="L108" s="566"/>
      <c r="M108" s="570">
        <f t="shared" si="15"/>
        <v>30000</v>
      </c>
      <c r="N108" s="566"/>
      <c r="O108" s="570">
        <f>O167</f>
        <v>30000</v>
      </c>
      <c r="P108" s="566"/>
      <c r="Q108" s="570">
        <f>Q167</f>
        <v>0</v>
      </c>
      <c r="R108" s="566"/>
    </row>
    <row r="109" spans="1:18" ht="16.5" thickBot="1" x14ac:dyDescent="0.3">
      <c r="A109" s="132"/>
      <c r="B109" s="131"/>
      <c r="C109" s="131"/>
      <c r="D109" s="131" t="str">
        <f t="shared" ref="D109:G117" si="54">D168</f>
        <v>Otros</v>
      </c>
      <c r="E109" s="209">
        <v>0</v>
      </c>
      <c r="F109" s="188"/>
      <c r="G109" s="209">
        <v>0</v>
      </c>
      <c r="H109" s="188"/>
      <c r="I109" s="209">
        <v>0</v>
      </c>
      <c r="J109" s="188"/>
      <c r="K109" s="209">
        <v>0</v>
      </c>
      <c r="L109" s="188"/>
      <c r="M109" s="209">
        <v>0</v>
      </c>
      <c r="N109" s="188"/>
      <c r="O109" s="209">
        <v>0</v>
      </c>
      <c r="P109" s="188"/>
      <c r="Q109" s="209">
        <v>0</v>
      </c>
      <c r="R109" s="188"/>
    </row>
    <row r="110" spans="1:18" ht="18" x14ac:dyDescent="0.25">
      <c r="A110" s="132"/>
      <c r="B110" s="131"/>
      <c r="C110" s="131"/>
      <c r="D110" s="211" t="str">
        <f t="shared" si="54"/>
        <v>Haberes</v>
      </c>
      <c r="E110" s="212">
        <f t="shared" ref="E110" si="55">E169</f>
        <v>1538522.1570376081</v>
      </c>
      <c r="F110" s="188"/>
      <c r="G110" s="212">
        <f t="shared" si="54"/>
        <v>1509886.4118015764</v>
      </c>
      <c r="H110" s="188"/>
      <c r="I110" s="212">
        <f t="shared" ref="I110:K110" si="56">I169</f>
        <v>1488726.9941394841</v>
      </c>
      <c r="J110" s="188"/>
      <c r="K110" s="212">
        <f t="shared" si="56"/>
        <v>1441024.6032748644</v>
      </c>
      <c r="L110" s="188"/>
      <c r="M110" s="212">
        <f t="shared" ref="M110:M117" si="57">M169</f>
        <v>1401327.7454124894</v>
      </c>
      <c r="N110" s="188"/>
      <c r="O110" s="212">
        <f t="shared" ref="O110" si="58">O169</f>
        <v>1356580.6992276313</v>
      </c>
      <c r="P110" s="188"/>
      <c r="Q110" s="212">
        <f t="shared" ref="Q110" si="59">Q169</f>
        <v>1326580.6992276313</v>
      </c>
      <c r="R110" s="188"/>
    </row>
    <row r="111" spans="1:18" ht="15.75" x14ac:dyDescent="0.25">
      <c r="A111" s="132"/>
      <c r="B111" s="131">
        <f>B170</f>
        <v>703</v>
      </c>
      <c r="C111" s="213">
        <f>C170</f>
        <v>2.5000000000000001E-3</v>
      </c>
      <c r="D111" s="214" t="str">
        <f t="shared" si="54"/>
        <v>Federación de  jubil</v>
      </c>
      <c r="E111" s="215">
        <f t="shared" ref="E111" si="60">E170</f>
        <v>3771.3053925940203</v>
      </c>
      <c r="F111" s="216"/>
      <c r="G111" s="215">
        <f t="shared" si="54"/>
        <v>3699.7160295039412</v>
      </c>
      <c r="H111" s="216"/>
      <c r="I111" s="215">
        <f t="shared" ref="I111:K111" si="61">I170</f>
        <v>3646.8174853487103</v>
      </c>
      <c r="J111" s="216"/>
      <c r="K111" s="215">
        <f t="shared" si="61"/>
        <v>3527.5615081871611</v>
      </c>
      <c r="L111" s="216"/>
      <c r="M111" s="215">
        <f t="shared" si="57"/>
        <v>3428.3193635312236</v>
      </c>
      <c r="N111" s="216"/>
      <c r="O111" s="215">
        <f t="shared" ref="O111" si="62">O170</f>
        <v>3316.4517480690783</v>
      </c>
      <c r="P111" s="216"/>
      <c r="Q111" s="215">
        <f t="shared" ref="Q111" si="63">Q170</f>
        <v>3316.4517480690783</v>
      </c>
      <c r="R111" s="216"/>
    </row>
    <row r="112" spans="1:18" ht="15.75" x14ac:dyDescent="0.25">
      <c r="A112" s="132"/>
      <c r="B112" s="197">
        <f>B171</f>
        <v>707</v>
      </c>
      <c r="C112" s="217">
        <f>C171</f>
        <v>0.03</v>
      </c>
      <c r="D112" s="189" t="str">
        <f t="shared" si="54"/>
        <v>Aporte IOSPER</v>
      </c>
      <c r="E112" s="218">
        <f t="shared" ref="E112" si="64">E171</f>
        <v>45255.664711128244</v>
      </c>
      <c r="F112" s="191"/>
      <c r="G112" s="218">
        <f t="shared" si="54"/>
        <v>44396.592354047287</v>
      </c>
      <c r="H112" s="191"/>
      <c r="I112" s="218">
        <f t="shared" ref="I112:K112" si="65">I171</f>
        <v>43761.809824184522</v>
      </c>
      <c r="J112" s="191"/>
      <c r="K112" s="218">
        <f t="shared" si="65"/>
        <v>42330.738098245929</v>
      </c>
      <c r="L112" s="191"/>
      <c r="M112" s="218">
        <f t="shared" si="57"/>
        <v>41139.832362374684</v>
      </c>
      <c r="N112" s="191"/>
      <c r="O112" s="218">
        <f t="shared" ref="O112" si="66">O171</f>
        <v>39797.420976828937</v>
      </c>
      <c r="P112" s="191"/>
      <c r="Q112" s="218">
        <f t="shared" ref="Q112" si="67">Q171</f>
        <v>39797.420976828937</v>
      </c>
      <c r="R112" s="191"/>
    </row>
    <row r="113" spans="1:18" ht="15.75" x14ac:dyDescent="0.25">
      <c r="A113" s="132"/>
      <c r="B113" s="197">
        <f>B172</f>
        <v>709</v>
      </c>
      <c r="C113" s="219">
        <v>1.5E-3</v>
      </c>
      <c r="D113" s="189" t="str">
        <f t="shared" si="54"/>
        <v>Seguro ley 3011</v>
      </c>
      <c r="E113" s="218">
        <f t="shared" ref="E113" si="68">E172</f>
        <v>2262.7832355564124</v>
      </c>
      <c r="F113" s="191"/>
      <c r="G113" s="218">
        <f t="shared" si="54"/>
        <v>2219.8296177023644</v>
      </c>
      <c r="H113" s="191"/>
      <c r="I113" s="218">
        <f t="shared" ref="I113:K113" si="69">I172</f>
        <v>2188.0904912092265</v>
      </c>
      <c r="J113" s="191"/>
      <c r="K113" s="218">
        <f t="shared" si="69"/>
        <v>2116.5369049122964</v>
      </c>
      <c r="L113" s="191"/>
      <c r="M113" s="218">
        <f t="shared" si="57"/>
        <v>2056.9916181187341</v>
      </c>
      <c r="N113" s="191"/>
      <c r="O113" s="218">
        <f t="shared" ref="O113" si="70">O172</f>
        <v>1989.871048841447</v>
      </c>
      <c r="P113" s="191"/>
      <c r="Q113" s="218">
        <f t="shared" ref="Q113" si="71">Q172</f>
        <v>1989.871048841447</v>
      </c>
      <c r="R113" s="191"/>
    </row>
    <row r="114" spans="1:18" ht="15.75" x14ac:dyDescent="0.25">
      <c r="A114" s="132"/>
      <c r="B114" s="197">
        <f>B173</f>
        <v>713</v>
      </c>
      <c r="C114" s="220">
        <f>C173</f>
        <v>7.0000000000000001E-3</v>
      </c>
      <c r="D114" s="189" t="str">
        <f t="shared" si="54"/>
        <v>Serv Sepelio IAPS</v>
      </c>
      <c r="E114" s="218">
        <f t="shared" ref="E114" si="72">E173</f>
        <v>10559.655099263256</v>
      </c>
      <c r="F114" s="191"/>
      <c r="G114" s="218">
        <f t="shared" si="54"/>
        <v>10359.204882611035</v>
      </c>
      <c r="H114" s="191"/>
      <c r="I114" s="218">
        <f t="shared" ref="I114:K114" si="73">I173</f>
        <v>10211.088958976388</v>
      </c>
      <c r="J114" s="191"/>
      <c r="K114" s="218">
        <f t="shared" si="73"/>
        <v>9877.1722229240513</v>
      </c>
      <c r="L114" s="191"/>
      <c r="M114" s="218">
        <f t="shared" si="57"/>
        <v>9599.2942178874255</v>
      </c>
      <c r="N114" s="191"/>
      <c r="O114" s="218">
        <f t="shared" ref="O114" si="74">O173</f>
        <v>9286.064894593419</v>
      </c>
      <c r="P114" s="191"/>
      <c r="Q114" s="218">
        <f t="shared" ref="Q114" si="75">Q173</f>
        <v>9286.064894593419</v>
      </c>
      <c r="R114" s="191"/>
    </row>
    <row r="115" spans="1:18" ht="18" x14ac:dyDescent="0.25">
      <c r="A115" s="132"/>
      <c r="B115" s="197">
        <f>B174</f>
        <v>787</v>
      </c>
      <c r="C115" s="586">
        <v>0.01</v>
      </c>
      <c r="D115" s="189" t="str">
        <f t="shared" si="54"/>
        <v>Desc AGMER 1 %</v>
      </c>
      <c r="E115" s="218">
        <f t="shared" ref="E115" si="76">E174</f>
        <v>15085.221570376081</v>
      </c>
      <c r="F115" s="191"/>
      <c r="G115" s="218">
        <f t="shared" si="54"/>
        <v>14798.864118015765</v>
      </c>
      <c r="H115" s="191"/>
      <c r="I115" s="218">
        <f t="shared" ref="I115:K115" si="77">I174</f>
        <v>14587.269941394841</v>
      </c>
      <c r="J115" s="191"/>
      <c r="K115" s="218">
        <f t="shared" si="77"/>
        <v>14110.246032748644</v>
      </c>
      <c r="L115" s="191"/>
      <c r="M115" s="218">
        <f t="shared" si="57"/>
        <v>13713.277454124895</v>
      </c>
      <c r="N115" s="191"/>
      <c r="O115" s="218">
        <f t="shared" ref="O115" si="78">O174</f>
        <v>13265.806992276313</v>
      </c>
      <c r="P115" s="191"/>
      <c r="Q115" s="218">
        <f t="shared" ref="Q115" si="79">Q174</f>
        <v>13265.806992276313</v>
      </c>
      <c r="R115" s="191"/>
    </row>
    <row r="116" spans="1:18" ht="16.5" thickBot="1" x14ac:dyDescent="0.3">
      <c r="A116" s="132"/>
      <c r="B116" s="132"/>
      <c r="C116" s="201"/>
      <c r="D116" s="221" t="str">
        <f t="shared" si="54"/>
        <v>Otros descuentos</v>
      </c>
      <c r="E116" s="222">
        <f t="shared" ref="E116" si="80">E175</f>
        <v>0</v>
      </c>
      <c r="F116" s="223"/>
      <c r="G116" s="222">
        <f t="shared" si="54"/>
        <v>0</v>
      </c>
      <c r="H116" s="223"/>
      <c r="I116" s="222">
        <f t="shared" ref="I116:K116" si="81">I175</f>
        <v>0</v>
      </c>
      <c r="J116" s="223"/>
      <c r="K116" s="222">
        <f t="shared" si="81"/>
        <v>0</v>
      </c>
      <c r="L116" s="223"/>
      <c r="M116" s="222">
        <f t="shared" si="57"/>
        <v>0</v>
      </c>
      <c r="N116" s="223"/>
      <c r="O116" s="222">
        <f t="shared" ref="O116" si="82">O175</f>
        <v>0</v>
      </c>
      <c r="P116" s="223"/>
      <c r="Q116" s="222">
        <f t="shared" ref="Q116" si="83">Q175</f>
        <v>0</v>
      </c>
      <c r="R116" s="223"/>
    </row>
    <row r="117" spans="1:18" ht="16.5" thickBot="1" x14ac:dyDescent="0.3">
      <c r="A117" s="132"/>
      <c r="B117" s="132"/>
      <c r="C117" s="132"/>
      <c r="D117" s="224" t="str">
        <f t="shared" si="54"/>
        <v>Descuentos</v>
      </c>
      <c r="E117" s="225">
        <f t="shared" ref="E117" si="84">E176</f>
        <v>76934.630008918</v>
      </c>
      <c r="F117" s="226"/>
      <c r="G117" s="225">
        <f t="shared" si="54"/>
        <v>75474.207001880393</v>
      </c>
      <c r="H117" s="226"/>
      <c r="I117" s="225">
        <f t="shared" ref="I117:K117" si="85">I176</f>
        <v>74395.076701113678</v>
      </c>
      <c r="J117" s="226"/>
      <c r="K117" s="225">
        <f t="shared" si="85"/>
        <v>71962.254767018079</v>
      </c>
      <c r="L117" s="226"/>
      <c r="M117" s="225">
        <f t="shared" si="57"/>
        <v>69937.715016036964</v>
      </c>
      <c r="N117" s="226"/>
      <c r="O117" s="225">
        <f t="shared" ref="O117" si="86">O176</f>
        <v>67655.615660609183</v>
      </c>
      <c r="P117" s="226"/>
      <c r="Q117" s="225">
        <f t="shared" ref="Q117" si="87">Q176</f>
        <v>67655.615660609183</v>
      </c>
      <c r="R117" s="226"/>
    </row>
    <row r="118" spans="1:18" ht="16.5" thickBot="1" x14ac:dyDescent="0.3">
      <c r="A118" s="132"/>
      <c r="B118" s="20"/>
      <c r="C118" s="227"/>
      <c r="D118" s="228"/>
      <c r="E118" s="229"/>
      <c r="F118" s="230"/>
      <c r="G118" s="229"/>
      <c r="H118" s="230"/>
      <c r="I118" s="229"/>
      <c r="J118" s="230"/>
      <c r="K118" s="229"/>
      <c r="L118" s="230"/>
      <c r="M118" s="229"/>
      <c r="N118" s="230"/>
      <c r="O118" s="229"/>
      <c r="P118" s="230"/>
      <c r="Q118" s="229"/>
      <c r="R118" s="230"/>
    </row>
    <row r="119" spans="1:18" ht="24" thickBot="1" x14ac:dyDescent="0.4">
      <c r="A119" s="132"/>
      <c r="B119" s="231"/>
      <c r="C119" s="232"/>
      <c r="D119" s="233" t="str">
        <f>D178</f>
        <v>Líquido</v>
      </c>
      <c r="E119" s="234">
        <f>E178</f>
        <v>1461587.5270286901</v>
      </c>
      <c r="F119" s="235"/>
      <c r="G119" s="234">
        <f>G178</f>
        <v>1434412.2047996959</v>
      </c>
      <c r="H119" s="235"/>
      <c r="I119" s="234">
        <f>I178</f>
        <v>1414331.9174383704</v>
      </c>
      <c r="J119" s="235"/>
      <c r="K119" s="234">
        <f>K178</f>
        <v>1369062.3485078462</v>
      </c>
      <c r="L119" s="235"/>
      <c r="M119" s="234">
        <f>M178</f>
        <v>1331390.0303964524</v>
      </c>
      <c r="N119" s="235"/>
      <c r="O119" s="234">
        <f>O178</f>
        <v>1288925.0835670221</v>
      </c>
      <c r="P119" s="235"/>
      <c r="Q119" s="234">
        <f>Q178</f>
        <v>1258925.0835670221</v>
      </c>
      <c r="R119" s="235"/>
    </row>
    <row r="120" spans="1:18" ht="15.75" x14ac:dyDescent="0.25">
      <c r="A120" s="132"/>
      <c r="B120" s="231"/>
      <c r="C120" s="231"/>
      <c r="D120" s="236" t="s">
        <v>444</v>
      </c>
      <c r="E120" s="218">
        <f>E179</f>
        <v>45255.664711128244</v>
      </c>
      <c r="F120" s="218"/>
      <c r="G120" s="218">
        <f>G179</f>
        <v>44396.592354047287</v>
      </c>
      <c r="H120" s="218"/>
      <c r="I120" s="218">
        <f>I179</f>
        <v>43761.809824184522</v>
      </c>
      <c r="J120" s="218"/>
      <c r="K120" s="218">
        <f>K179</f>
        <v>42330.738098245929</v>
      </c>
      <c r="L120" s="218"/>
      <c r="M120" s="218">
        <f>M179</f>
        <v>41139.832362374684</v>
      </c>
      <c r="N120" s="218"/>
      <c r="O120" s="218">
        <f>O179</f>
        <v>39797.420976828937</v>
      </c>
      <c r="P120" s="218"/>
      <c r="Q120" s="218">
        <f>Q179</f>
        <v>39797.420976828937</v>
      </c>
      <c r="R120" s="218"/>
    </row>
    <row r="121" spans="1:18" ht="23.25" x14ac:dyDescent="0.35">
      <c r="A121" s="132"/>
      <c r="B121" s="231"/>
      <c r="C121" s="231"/>
      <c r="D121" s="237" t="s">
        <v>445</v>
      </c>
      <c r="E121" s="238">
        <f>E180</f>
        <v>1416331.8623175619</v>
      </c>
      <c r="F121" s="238"/>
      <c r="G121" s="238">
        <f>G180</f>
        <v>1390015.6124456485</v>
      </c>
      <c r="H121" s="238"/>
      <c r="I121" s="238">
        <f>I180</f>
        <v>1370570.1076141859</v>
      </c>
      <c r="J121" s="238"/>
      <c r="K121" s="238">
        <f>K180</f>
        <v>1326731.6104096002</v>
      </c>
      <c r="L121" s="238"/>
      <c r="M121" s="238">
        <f>M180</f>
        <v>1290250.1980340776</v>
      </c>
      <c r="N121" s="238"/>
      <c r="O121" s="238">
        <f>O180</f>
        <v>1249127.6625901931</v>
      </c>
      <c r="P121" s="238"/>
      <c r="Q121" s="238">
        <f>Q180</f>
        <v>1219127.6625901931</v>
      </c>
      <c r="R121" s="238"/>
    </row>
    <row r="122" spans="1:18" ht="21" thickBot="1" x14ac:dyDescent="0.35">
      <c r="A122" s="132"/>
      <c r="B122" s="231"/>
      <c r="C122" s="231"/>
      <c r="D122" s="236"/>
      <c r="E122" s="239"/>
      <c r="F122" s="240"/>
      <c r="G122" s="239"/>
      <c r="H122" s="240"/>
      <c r="I122" s="239"/>
      <c r="J122" s="240"/>
      <c r="K122" s="239"/>
      <c r="L122" s="240"/>
      <c r="M122" s="239"/>
      <c r="N122" s="240"/>
      <c r="O122" s="239"/>
      <c r="P122" s="240"/>
      <c r="Q122" s="239"/>
      <c r="R122" s="240"/>
    </row>
    <row r="123" spans="1:18" ht="21" thickTop="1" x14ac:dyDescent="0.3">
      <c r="A123" s="132"/>
      <c r="B123" s="132"/>
      <c r="C123" s="164"/>
      <c r="D123" s="241" t="str">
        <f>D182</f>
        <v>Aumento mensual</v>
      </c>
      <c r="E123" s="242">
        <f>E182</f>
        <v>27175.32222899422</v>
      </c>
      <c r="F123" s="243"/>
      <c r="G123" s="242">
        <f>G182</f>
        <v>20080.287361325463</v>
      </c>
      <c r="H123" s="243"/>
      <c r="I123" s="242">
        <f>I182</f>
        <v>45269.568930524169</v>
      </c>
      <c r="J123" s="243"/>
      <c r="K123" s="242">
        <f>K182</f>
        <v>37672.318111393834</v>
      </c>
      <c r="L123" s="243"/>
      <c r="M123" s="242">
        <f>M182</f>
        <v>42464.946829430293</v>
      </c>
      <c r="N123" s="243"/>
      <c r="O123" s="242">
        <f>O182</f>
        <v>30000</v>
      </c>
      <c r="P123" s="243"/>
      <c r="Q123" s="242">
        <f>Q182</f>
        <v>0</v>
      </c>
      <c r="R123" s="243"/>
    </row>
    <row r="124" spans="1:18" ht="21" thickBot="1" x14ac:dyDescent="0.35">
      <c r="A124" s="132"/>
      <c r="B124" s="244"/>
      <c r="C124" s="164"/>
      <c r="D124" s="245" t="str">
        <f>D183</f>
        <v>Aum porcentual</v>
      </c>
      <c r="E124" s="246">
        <f>E183</f>
        <v>1.894526701464384E-2</v>
      </c>
      <c r="F124" s="247"/>
      <c r="G124" s="246">
        <f>G183</f>
        <v>1.4197719158947329E-2</v>
      </c>
      <c r="H124" s="247"/>
      <c r="I124" s="246">
        <f>I183</f>
        <v>3.3066111985231274E-2</v>
      </c>
      <c r="J124" s="247"/>
      <c r="K124" s="246">
        <f>K183</f>
        <v>2.8295478598541122E-2</v>
      </c>
      <c r="L124" s="247"/>
      <c r="M124" s="246">
        <f>M183</f>
        <v>3.2946016312997123E-2</v>
      </c>
      <c r="N124" s="247"/>
      <c r="O124" s="246">
        <f>O183</f>
        <v>2.38298532546499E-2</v>
      </c>
      <c r="P124" s="247"/>
      <c r="Q124" s="246">
        <f>Q183</f>
        <v>0</v>
      </c>
      <c r="R124" s="247"/>
    </row>
    <row r="125" spans="1:18" ht="21.75" thickTop="1" thickBot="1" x14ac:dyDescent="0.35">
      <c r="A125" s="132"/>
      <c r="B125" s="132"/>
      <c r="C125" s="164"/>
      <c r="D125" s="149">
        <f>D184</f>
        <v>0</v>
      </c>
      <c r="E125" s="248"/>
      <c r="F125" s="249"/>
      <c r="G125" s="248"/>
      <c r="H125" s="249"/>
      <c r="I125" s="248"/>
      <c r="J125" s="249"/>
      <c r="K125" s="248"/>
      <c r="L125" s="249"/>
      <c r="M125" s="248"/>
      <c r="N125" s="249"/>
      <c r="O125" s="248"/>
      <c r="P125" s="249"/>
      <c r="Q125" s="248"/>
      <c r="R125" s="249"/>
    </row>
    <row r="126" spans="1:18" ht="21" thickBot="1" x14ac:dyDescent="0.35">
      <c r="A126" s="132"/>
      <c r="B126" s="132"/>
      <c r="C126" s="164"/>
      <c r="D126" s="250" t="s">
        <v>446</v>
      </c>
      <c r="E126" s="251">
        <f>E185</f>
        <v>26316.249871913344</v>
      </c>
      <c r="F126" s="252"/>
      <c r="G126" s="251">
        <f>G185</f>
        <v>19445.504831462633</v>
      </c>
      <c r="H126" s="252"/>
      <c r="I126" s="251">
        <f>I185</f>
        <v>43838.497204585699</v>
      </c>
      <c r="J126" s="252"/>
      <c r="K126" s="251">
        <f>K185</f>
        <v>36481.412375522545</v>
      </c>
      <c r="L126" s="252"/>
      <c r="M126" s="251">
        <f>M185</f>
        <v>41122.535443884553</v>
      </c>
      <c r="N126" s="252"/>
      <c r="O126" s="251">
        <f>O185</f>
        <v>30000</v>
      </c>
      <c r="P126" s="252"/>
      <c r="Q126" s="251">
        <f>Q185</f>
        <v>0</v>
      </c>
      <c r="R126" s="252"/>
    </row>
    <row r="127" spans="1:18" ht="21" thickBot="1" x14ac:dyDescent="0.35">
      <c r="A127" s="132"/>
      <c r="B127" s="132"/>
      <c r="C127" s="164"/>
      <c r="D127" s="250" t="s">
        <v>447</v>
      </c>
      <c r="E127" s="253">
        <f>E186</f>
        <v>1.8932341217097189E-2</v>
      </c>
      <c r="F127" s="252"/>
      <c r="G127" s="253">
        <f>G186</f>
        <v>1.4187895039759996E-2</v>
      </c>
      <c r="H127" s="252"/>
      <c r="I127" s="253">
        <f>I186</f>
        <v>3.3042475856176742E-2</v>
      </c>
      <c r="J127" s="252"/>
      <c r="K127" s="253">
        <f>K186</f>
        <v>2.8274680702322984E-2</v>
      </c>
      <c r="L127" s="252"/>
      <c r="M127" s="253">
        <f>M186</f>
        <v>3.2921002933049129E-2</v>
      </c>
      <c r="N127" s="252"/>
      <c r="O127" s="253">
        <f>O186</f>
        <v>2.4607759236847396E-2</v>
      </c>
      <c r="P127" s="252"/>
      <c r="Q127" s="253">
        <f>Q186</f>
        <v>0</v>
      </c>
      <c r="R127" s="252"/>
    </row>
    <row r="128" spans="1:18" ht="21" thickBot="1" x14ac:dyDescent="0.35">
      <c r="A128" s="132"/>
      <c r="B128" s="132"/>
      <c r="C128" s="164"/>
      <c r="D128" s="149"/>
      <c r="E128" s="248"/>
      <c r="F128" s="249"/>
      <c r="G128" s="248"/>
      <c r="H128" s="249"/>
      <c r="I128" s="248"/>
      <c r="J128" s="249"/>
      <c r="K128" s="248"/>
      <c r="L128" s="249"/>
      <c r="M128" s="248"/>
      <c r="N128" s="249"/>
      <c r="O128" s="248"/>
      <c r="P128" s="249"/>
      <c r="Q128" s="248"/>
      <c r="R128" s="249"/>
    </row>
    <row r="129" spans="1:18" ht="21" thickTop="1" x14ac:dyDescent="0.3">
      <c r="A129" s="132"/>
      <c r="B129" s="132"/>
      <c r="C129" s="164"/>
      <c r="D129" s="254" t="str">
        <f>D188</f>
        <v>Aumento acumulado anual</v>
      </c>
      <c r="E129" s="255">
        <f t="shared" ref="E129:G129" si="88">E188</f>
        <v>202662.44346166798</v>
      </c>
      <c r="F129" s="243"/>
      <c r="G129" s="255">
        <f t="shared" si="88"/>
        <v>175487.12123267376</v>
      </c>
      <c r="H129" s="243"/>
      <c r="I129" s="255">
        <f t="shared" ref="I129:K129" si="89">I188</f>
        <v>155406.8338713483</v>
      </c>
      <c r="J129" s="243"/>
      <c r="K129" s="255">
        <f t="shared" si="89"/>
        <v>110137.26494082413</v>
      </c>
      <c r="L129" s="243"/>
      <c r="M129" s="255">
        <f>M188</f>
        <v>72464.946829430293</v>
      </c>
      <c r="N129" s="243"/>
      <c r="O129" s="255">
        <f t="shared" ref="O129" si="90">O188</f>
        <v>30000</v>
      </c>
      <c r="P129" s="243"/>
      <c r="Q129" s="255">
        <f t="shared" ref="Q129" si="91">Q188</f>
        <v>0</v>
      </c>
      <c r="R129" s="243"/>
    </row>
    <row r="130" spans="1:18" ht="21" thickBot="1" x14ac:dyDescent="0.35">
      <c r="A130" s="132"/>
      <c r="B130" s="132"/>
      <c r="C130" s="164"/>
      <c r="D130" s="256" t="str">
        <f>D189</f>
        <v>Acumulado porcentual</v>
      </c>
      <c r="E130" s="257">
        <f t="shared" ref="E130:G130" si="92">E189</f>
        <v>0.16098054293067768</v>
      </c>
      <c r="F130" s="247"/>
      <c r="G130" s="257">
        <f t="shared" si="92"/>
        <v>0.13939441156851909</v>
      </c>
      <c r="H130" s="247"/>
      <c r="I130" s="257">
        <f t="shared" ref="I130:K130" si="93">I189</f>
        <v>0.12344406819746619</v>
      </c>
      <c r="J130" s="247"/>
      <c r="K130" s="257">
        <f t="shared" si="93"/>
        <v>8.7485162046944537E-2</v>
      </c>
      <c r="L130" s="247"/>
      <c r="M130" s="257">
        <f>M189</f>
        <v>5.7560968301711049E-2</v>
      </c>
      <c r="N130" s="247"/>
      <c r="O130" s="257">
        <f t="shared" ref="O130" si="94">O189</f>
        <v>2.38298532546499E-2</v>
      </c>
      <c r="P130" s="247"/>
      <c r="Q130" s="257">
        <f t="shared" ref="Q130" si="95">Q189</f>
        <v>0</v>
      </c>
      <c r="R130" s="247"/>
    </row>
    <row r="131" spans="1:18" ht="17.25" thickTop="1" thickBot="1" x14ac:dyDescent="0.3">
      <c r="A131" s="132"/>
      <c r="B131" s="132"/>
      <c r="C131" s="164"/>
      <c r="D131" s="258">
        <f>D190</f>
        <v>0</v>
      </c>
      <c r="E131" s="259">
        <f t="shared" ref="E131:G131" si="96">E190</f>
        <v>0</v>
      </c>
      <c r="F131" s="260"/>
      <c r="G131" s="259">
        <f t="shared" si="96"/>
        <v>0</v>
      </c>
      <c r="H131" s="260"/>
      <c r="I131" s="259">
        <f t="shared" ref="I131:K131" si="97">I190</f>
        <v>0</v>
      </c>
      <c r="J131" s="260"/>
      <c r="K131" s="259">
        <f t="shared" si="97"/>
        <v>0</v>
      </c>
      <c r="L131" s="260"/>
      <c r="M131" s="259">
        <f>M190</f>
        <v>0</v>
      </c>
      <c r="N131" s="260"/>
      <c r="O131" s="259">
        <f t="shared" ref="O131" si="98">O190</f>
        <v>0</v>
      </c>
      <c r="P131" s="260"/>
      <c r="Q131" s="259">
        <f t="shared" ref="Q131" si="99">Q190</f>
        <v>0</v>
      </c>
      <c r="R131" s="260"/>
    </row>
    <row r="132" spans="1:18" ht="21" thickBot="1" x14ac:dyDescent="0.35">
      <c r="A132" s="132"/>
      <c r="B132" s="132"/>
      <c r="C132" s="164"/>
      <c r="D132" s="261" t="s">
        <v>448</v>
      </c>
      <c r="E132" s="251">
        <f>E191</f>
        <v>197204.19972736877</v>
      </c>
      <c r="F132" s="262"/>
      <c r="G132" s="251">
        <f>G191</f>
        <v>170887.94985545543</v>
      </c>
      <c r="H132" s="262"/>
      <c r="I132" s="251">
        <f>I191</f>
        <v>151442.4450239928</v>
      </c>
      <c r="J132" s="262"/>
      <c r="K132" s="251">
        <f>K191</f>
        <v>107603.9478194071</v>
      </c>
      <c r="L132" s="262"/>
      <c r="M132" s="251">
        <f>M191</f>
        <v>71122.535443884553</v>
      </c>
      <c r="N132" s="262"/>
      <c r="O132" s="251">
        <f>O191</f>
        <v>30000</v>
      </c>
      <c r="P132" s="262"/>
      <c r="Q132" s="251">
        <f>Q191</f>
        <v>0</v>
      </c>
      <c r="R132" s="262"/>
    </row>
    <row r="133" spans="1:18" ht="21" thickBot="1" x14ac:dyDescent="0.35">
      <c r="A133" s="132"/>
      <c r="B133" s="132"/>
      <c r="C133" s="164"/>
      <c r="D133" s="261" t="s">
        <v>449</v>
      </c>
      <c r="E133" s="263">
        <f>E192</f>
        <v>0.16175844891287525</v>
      </c>
      <c r="F133" s="262"/>
      <c r="G133" s="263">
        <f>G192</f>
        <v>0.1401723175507166</v>
      </c>
      <c r="H133" s="262"/>
      <c r="I133" s="263">
        <f>I192</f>
        <v>0.12422197417966375</v>
      </c>
      <c r="J133" s="262"/>
      <c r="K133" s="263">
        <f>K192</f>
        <v>8.8263068029142008E-2</v>
      </c>
      <c r="L133" s="262"/>
      <c r="M133" s="263">
        <f>M192</f>
        <v>5.8338874283908548E-2</v>
      </c>
      <c r="N133" s="262"/>
      <c r="O133" s="263">
        <f>O192</f>
        <v>2.4607759236847396E-2</v>
      </c>
      <c r="P133" s="262"/>
      <c r="Q133" s="263">
        <f>Q192</f>
        <v>0</v>
      </c>
      <c r="R133" s="262"/>
    </row>
    <row r="134" spans="1:18" ht="16.5" thickBot="1" x14ac:dyDescent="0.3">
      <c r="A134" s="132"/>
      <c r="B134" s="132"/>
      <c r="C134" s="164"/>
      <c r="D134" s="258"/>
      <c r="E134" s="259"/>
      <c r="F134" s="260"/>
      <c r="G134" s="259"/>
      <c r="H134" s="260"/>
      <c r="I134" s="259"/>
      <c r="J134" s="260"/>
      <c r="K134" s="259"/>
      <c r="L134" s="260"/>
      <c r="M134" s="259"/>
      <c r="N134" s="260"/>
      <c r="O134" s="259"/>
      <c r="P134" s="260"/>
      <c r="Q134" s="259"/>
      <c r="R134" s="260"/>
    </row>
    <row r="135" spans="1:18" ht="21" thickTop="1" x14ac:dyDescent="0.3">
      <c r="A135" s="132"/>
      <c r="B135" s="132"/>
      <c r="C135" s="164"/>
      <c r="D135" s="264" t="str">
        <f>D194</f>
        <v>MEDIO AGUINALDO</v>
      </c>
      <c r="E135" s="265"/>
      <c r="F135" s="266"/>
      <c r="G135" s="265"/>
      <c r="H135" s="266"/>
      <c r="I135" s="265"/>
      <c r="J135" s="266"/>
      <c r="K135" s="265"/>
      <c r="L135" s="266"/>
      <c r="M135" s="265"/>
      <c r="N135" s="266"/>
      <c r="O135" s="265"/>
      <c r="P135" s="266"/>
      <c r="Q135" s="265"/>
      <c r="R135" s="266"/>
    </row>
    <row r="136" spans="1:18" ht="15.75" x14ac:dyDescent="0.25">
      <c r="A136" s="132"/>
      <c r="B136" s="132"/>
      <c r="C136" s="164"/>
      <c r="D136" s="267"/>
      <c r="E136" s="268"/>
      <c r="F136" s="269"/>
      <c r="G136" s="268"/>
      <c r="H136" s="269"/>
      <c r="I136" s="268"/>
      <c r="J136" s="269"/>
      <c r="K136" s="268"/>
      <c r="L136" s="269"/>
      <c r="M136" s="268"/>
      <c r="N136" s="269"/>
      <c r="O136" s="268"/>
      <c r="P136" s="269"/>
      <c r="Q136" s="268"/>
      <c r="R136" s="269"/>
    </row>
    <row r="137" spans="1:18" ht="15.75" x14ac:dyDescent="0.25">
      <c r="A137" s="132"/>
      <c r="B137" s="132"/>
      <c r="C137" s="164"/>
      <c r="D137" s="270" t="str">
        <f>D196</f>
        <v>Código 550</v>
      </c>
      <c r="E137" s="271">
        <f>E196</f>
        <v>769261.07851880405</v>
      </c>
      <c r="F137" s="272"/>
      <c r="G137" s="271">
        <f>G196</f>
        <v>754943.20590078819</v>
      </c>
      <c r="H137" s="272"/>
      <c r="I137" s="271">
        <f>I196</f>
        <v>744363.49706974206</v>
      </c>
      <c r="J137" s="272"/>
      <c r="K137" s="271">
        <f>K196</f>
        <v>720512.30163743219</v>
      </c>
      <c r="L137" s="272"/>
      <c r="M137" s="271">
        <f>M196</f>
        <v>700663.8727062447</v>
      </c>
      <c r="N137" s="272"/>
      <c r="O137" s="271">
        <f>O196</f>
        <v>678290.34961381566</v>
      </c>
      <c r="P137" s="272"/>
      <c r="Q137" s="271">
        <f>Q196</f>
        <v>663290.34961381566</v>
      </c>
      <c r="R137" s="272"/>
    </row>
    <row r="138" spans="1:18" ht="15.75" x14ac:dyDescent="0.25">
      <c r="A138" s="132"/>
      <c r="B138" s="132"/>
      <c r="C138" s="132"/>
      <c r="D138" s="273"/>
      <c r="E138" s="268"/>
      <c r="F138" s="269"/>
      <c r="G138" s="268"/>
      <c r="H138" s="269"/>
      <c r="I138" s="268"/>
      <c r="J138" s="269"/>
      <c r="K138" s="268"/>
      <c r="L138" s="269"/>
      <c r="M138" s="268"/>
      <c r="N138" s="269"/>
      <c r="O138" s="268"/>
      <c r="P138" s="269"/>
      <c r="Q138" s="268"/>
      <c r="R138" s="269"/>
    </row>
    <row r="139" spans="1:18" ht="15.75" x14ac:dyDescent="0.25">
      <c r="A139" s="132"/>
      <c r="B139" s="132"/>
      <c r="C139" s="132"/>
      <c r="D139" s="270" t="str">
        <f t="shared" ref="D139:G145" si="100">D198</f>
        <v>Descuentos</v>
      </c>
      <c r="E139" s="268"/>
      <c r="F139" s="272"/>
      <c r="G139" s="268"/>
      <c r="H139" s="272"/>
      <c r="I139" s="268"/>
      <c r="J139" s="272"/>
      <c r="K139" s="268"/>
      <c r="L139" s="272"/>
      <c r="M139" s="268"/>
      <c r="N139" s="272"/>
      <c r="O139" s="268"/>
      <c r="P139" s="272"/>
      <c r="Q139" s="268"/>
      <c r="R139" s="272"/>
    </row>
    <row r="140" spans="1:18" ht="15.75" x14ac:dyDescent="0.25">
      <c r="A140" s="132"/>
      <c r="B140" s="197">
        <f>B199</f>
        <v>703</v>
      </c>
      <c r="C140" s="213">
        <f>C199</f>
        <v>2.5000000000000001E-3</v>
      </c>
      <c r="D140" s="274" t="str">
        <f t="shared" si="100"/>
        <v>Federación de  jubil</v>
      </c>
      <c r="E140" s="275">
        <f t="shared" ref="E140" si="101">E199</f>
        <v>1923.1526962970102</v>
      </c>
      <c r="F140" s="276"/>
      <c r="G140" s="275">
        <f t="shared" si="100"/>
        <v>1887.3580147519706</v>
      </c>
      <c r="H140" s="276"/>
      <c r="I140" s="275">
        <f t="shared" ref="I140:K140" si="102">I199</f>
        <v>1860.9087426743552</v>
      </c>
      <c r="J140" s="276"/>
      <c r="K140" s="275">
        <f t="shared" si="102"/>
        <v>1801.2807540935805</v>
      </c>
      <c r="L140" s="276"/>
      <c r="M140" s="275">
        <f t="shared" ref="M140:M145" si="103">M199</f>
        <v>1751.6596817656118</v>
      </c>
      <c r="N140" s="276"/>
      <c r="O140" s="275">
        <f t="shared" ref="O140" si="104">O199</f>
        <v>1695.7258740345392</v>
      </c>
      <c r="P140" s="276"/>
      <c r="Q140" s="275">
        <f t="shared" ref="Q140" si="105">Q199</f>
        <v>1658.2258740345392</v>
      </c>
      <c r="R140" s="276"/>
    </row>
    <row r="141" spans="1:18" ht="15.75" x14ac:dyDescent="0.25">
      <c r="A141" s="132"/>
      <c r="B141" s="197">
        <f>B200</f>
        <v>707</v>
      </c>
      <c r="C141" s="217">
        <f>C200</f>
        <v>0.03</v>
      </c>
      <c r="D141" s="277" t="str">
        <f t="shared" si="100"/>
        <v>Aporte IOSPER</v>
      </c>
      <c r="E141" s="275">
        <f t="shared" ref="E141" si="106">E200</f>
        <v>23077.832355564122</v>
      </c>
      <c r="F141" s="278"/>
      <c r="G141" s="275">
        <f t="shared" si="100"/>
        <v>22648.296177023643</v>
      </c>
      <c r="H141" s="278"/>
      <c r="I141" s="275">
        <f t="shared" ref="I141:K141" si="107">I200</f>
        <v>22330.904912092261</v>
      </c>
      <c r="J141" s="278"/>
      <c r="K141" s="275">
        <f t="shared" si="107"/>
        <v>21615.369049122964</v>
      </c>
      <c r="L141" s="278"/>
      <c r="M141" s="275">
        <f t="shared" si="103"/>
        <v>21019.916181187342</v>
      </c>
      <c r="N141" s="278"/>
      <c r="O141" s="275">
        <f t="shared" ref="O141" si="108">O200</f>
        <v>20348.710488414468</v>
      </c>
      <c r="P141" s="278"/>
      <c r="Q141" s="275">
        <f t="shared" ref="Q141" si="109">Q200</f>
        <v>19898.710488414468</v>
      </c>
      <c r="R141" s="278"/>
    </row>
    <row r="142" spans="1:18" ht="15.75" x14ac:dyDescent="0.25">
      <c r="A142" s="132"/>
      <c r="B142" s="197">
        <f>B201</f>
        <v>709</v>
      </c>
      <c r="C142" s="219">
        <v>1.5E-3</v>
      </c>
      <c r="D142" s="277" t="str">
        <f t="shared" si="100"/>
        <v>Seguro ley 3011</v>
      </c>
      <c r="E142" s="275">
        <f t="shared" ref="E142" si="110">E201</f>
        <v>1153.8916177782062</v>
      </c>
      <c r="F142" s="278"/>
      <c r="G142" s="275">
        <f t="shared" si="100"/>
        <v>1132.4148088511822</v>
      </c>
      <c r="H142" s="278"/>
      <c r="I142" s="275">
        <f t="shared" ref="I142:K142" si="111">I201</f>
        <v>1116.5452456046132</v>
      </c>
      <c r="J142" s="278"/>
      <c r="K142" s="275">
        <f t="shared" si="111"/>
        <v>1080.7684524561482</v>
      </c>
      <c r="L142" s="278"/>
      <c r="M142" s="275">
        <f t="shared" si="103"/>
        <v>1050.995809059367</v>
      </c>
      <c r="N142" s="278"/>
      <c r="O142" s="275">
        <f t="shared" ref="O142" si="112">O201</f>
        <v>1017.4355244207235</v>
      </c>
      <c r="P142" s="278"/>
      <c r="Q142" s="275">
        <f t="shared" ref="Q142" si="113">Q201</f>
        <v>994.93552442072348</v>
      </c>
      <c r="R142" s="278"/>
    </row>
    <row r="143" spans="1:18" ht="15.75" x14ac:dyDescent="0.25">
      <c r="A143" s="132"/>
      <c r="B143" s="197">
        <f>B202</f>
        <v>713</v>
      </c>
      <c r="C143" s="220">
        <f>C202</f>
        <v>7.0000000000000001E-3</v>
      </c>
      <c r="D143" s="277" t="str">
        <f t="shared" si="100"/>
        <v>Serv Sepelio IAPS</v>
      </c>
      <c r="E143" s="275">
        <f t="shared" ref="E143" si="114">E202</f>
        <v>5384.8275496316282</v>
      </c>
      <c r="F143" s="278"/>
      <c r="G143" s="275">
        <f t="shared" si="100"/>
        <v>5284.6024413055175</v>
      </c>
      <c r="H143" s="278"/>
      <c r="I143" s="275">
        <f t="shared" ref="I143:K143" si="115">I202</f>
        <v>5210.5444794881942</v>
      </c>
      <c r="J143" s="278"/>
      <c r="K143" s="275">
        <f t="shared" si="115"/>
        <v>5043.5861114620257</v>
      </c>
      <c r="L143" s="278"/>
      <c r="M143" s="275">
        <f t="shared" si="103"/>
        <v>4904.6471089437127</v>
      </c>
      <c r="N143" s="278"/>
      <c r="O143" s="275">
        <f t="shared" ref="O143" si="116">O202</f>
        <v>4748.0324472967095</v>
      </c>
      <c r="P143" s="278"/>
      <c r="Q143" s="275">
        <f t="shared" ref="Q143" si="117">Q202</f>
        <v>4643.0324472967095</v>
      </c>
      <c r="R143" s="278"/>
    </row>
    <row r="144" spans="1:18" ht="18.75" thickBot="1" x14ac:dyDescent="0.3">
      <c r="A144" s="132"/>
      <c r="B144" s="197">
        <f>B203</f>
        <v>787</v>
      </c>
      <c r="C144" s="586">
        <f>C115</f>
        <v>0.01</v>
      </c>
      <c r="D144" s="277" t="str">
        <f t="shared" si="100"/>
        <v>Desc AGMER 1 %</v>
      </c>
      <c r="E144" s="275">
        <f t="shared" ref="E144" si="118">E203</f>
        <v>7692.6107851880406</v>
      </c>
      <c r="F144" s="278"/>
      <c r="G144" s="275">
        <f t="shared" si="100"/>
        <v>7549.4320590078823</v>
      </c>
      <c r="H144" s="278"/>
      <c r="I144" s="275">
        <f t="shared" ref="I144:K144" si="119">I203</f>
        <v>7443.6349706974206</v>
      </c>
      <c r="J144" s="278"/>
      <c r="K144" s="275">
        <f t="shared" si="119"/>
        <v>7205.1230163743221</v>
      </c>
      <c r="L144" s="278"/>
      <c r="M144" s="275">
        <f t="shared" si="103"/>
        <v>7006.6387270624473</v>
      </c>
      <c r="N144" s="278"/>
      <c r="O144" s="275">
        <f t="shared" ref="O144" si="120">O203</f>
        <v>6782.9034961381567</v>
      </c>
      <c r="P144" s="278"/>
      <c r="Q144" s="275">
        <f>Q203</f>
        <v>6632.9034961381567</v>
      </c>
      <c r="R144" s="278"/>
    </row>
    <row r="145" spans="1:18" ht="16.5" thickBot="1" x14ac:dyDescent="0.3">
      <c r="A145" s="132"/>
      <c r="B145" s="132"/>
      <c r="C145" s="132"/>
      <c r="D145" s="279" t="str">
        <f t="shared" si="100"/>
        <v>Total Descuentos</v>
      </c>
      <c r="E145" s="280">
        <f t="shared" ref="E145" si="121">E204</f>
        <v>39232.315004459</v>
      </c>
      <c r="F145" s="226"/>
      <c r="G145" s="280">
        <f t="shared" si="100"/>
        <v>38502.103500940197</v>
      </c>
      <c r="H145" s="226"/>
      <c r="I145" s="280">
        <f t="shared" ref="I145:K145" si="122">I204</f>
        <v>37962.538350556839</v>
      </c>
      <c r="J145" s="226"/>
      <c r="K145" s="280">
        <f t="shared" si="122"/>
        <v>36746.12738350904</v>
      </c>
      <c r="L145" s="226"/>
      <c r="M145" s="280">
        <f t="shared" si="103"/>
        <v>35733.857508018482</v>
      </c>
      <c r="N145" s="226"/>
      <c r="O145" s="280">
        <f t="shared" ref="O145" si="123">O204</f>
        <v>34592.807830304591</v>
      </c>
      <c r="P145" s="226"/>
      <c r="Q145" s="280">
        <f t="shared" ref="Q145" si="124">Q204</f>
        <v>33827.807830304591</v>
      </c>
      <c r="R145" s="226"/>
    </row>
    <row r="146" spans="1:18" ht="16.5" thickBot="1" x14ac:dyDescent="0.3">
      <c r="A146" s="132"/>
      <c r="B146" s="132"/>
      <c r="C146" s="132"/>
      <c r="D146" s="281"/>
      <c r="E146" s="282"/>
      <c r="F146" s="283"/>
      <c r="G146" s="282"/>
      <c r="H146" s="283"/>
      <c r="I146" s="282"/>
      <c r="J146" s="283"/>
      <c r="K146" s="282"/>
      <c r="L146" s="283"/>
      <c r="M146" s="282"/>
      <c r="N146" s="283"/>
      <c r="O146" s="282"/>
      <c r="P146" s="283"/>
      <c r="Q146" s="282"/>
      <c r="R146" s="283"/>
    </row>
    <row r="147" spans="1:18" ht="21" thickBot="1" x14ac:dyDescent="0.35">
      <c r="A147" s="132"/>
      <c r="B147" s="132"/>
      <c r="C147" s="132"/>
      <c r="D147" s="284" t="str">
        <f>D206</f>
        <v>Líquido</v>
      </c>
      <c r="E147" s="285">
        <f>E206</f>
        <v>730028.76351434505</v>
      </c>
      <c r="F147" s="286"/>
      <c r="G147" s="285">
        <f>G206</f>
        <v>716441.10239984794</v>
      </c>
      <c r="H147" s="286"/>
      <c r="I147" s="285">
        <f>I206</f>
        <v>706400.9587191852</v>
      </c>
      <c r="J147" s="286"/>
      <c r="K147" s="285">
        <f>K206</f>
        <v>683766.17425392312</v>
      </c>
      <c r="L147" s="286"/>
      <c r="M147" s="285">
        <f>M206</f>
        <v>664930.0151982262</v>
      </c>
      <c r="N147" s="286"/>
      <c r="O147" s="285">
        <f>O206</f>
        <v>643697.54178351106</v>
      </c>
      <c r="P147" s="286"/>
      <c r="Q147" s="285">
        <f>Q206</f>
        <v>629462.54178351106</v>
      </c>
      <c r="R147" s="286"/>
    </row>
    <row r="148" spans="1:18" ht="16.5" thickTop="1" x14ac:dyDescent="0.25">
      <c r="A148" s="132"/>
      <c r="D148" s="69"/>
      <c r="E148" s="287"/>
      <c r="G148" s="287"/>
      <c r="I148" s="287"/>
      <c r="K148" s="287"/>
      <c r="M148" s="287"/>
      <c r="O148" s="287"/>
      <c r="Q148" s="287"/>
    </row>
    <row r="149" spans="1:18" ht="15.75" hidden="1" x14ac:dyDescent="0.25">
      <c r="A149" s="132"/>
      <c r="B149" s="20"/>
      <c r="C149" s="20"/>
      <c r="D149" s="108"/>
      <c r="E149" s="132"/>
      <c r="F149" s="288"/>
      <c r="G149" s="132"/>
      <c r="H149" s="288"/>
      <c r="I149" s="132"/>
      <c r="J149" s="288"/>
      <c r="K149" s="132"/>
      <c r="L149" s="288"/>
      <c r="M149" s="132"/>
      <c r="N149" s="288"/>
      <c r="O149" s="132"/>
      <c r="P149" s="288"/>
      <c r="Q149" s="132"/>
      <c r="R149" s="288"/>
    </row>
    <row r="150" spans="1:18" ht="16.5" hidden="1" thickBot="1" x14ac:dyDescent="0.3">
      <c r="A150" s="132"/>
      <c r="B150" s="20"/>
      <c r="C150" s="20"/>
      <c r="D150" s="289"/>
    </row>
    <row r="151" spans="1:18" ht="24" hidden="1" thickBot="1" x14ac:dyDescent="0.3">
      <c r="A151" s="132"/>
      <c r="B151" s="290"/>
      <c r="C151" s="290"/>
      <c r="D151" s="291" t="s">
        <v>450</v>
      </c>
      <c r="E151" s="292">
        <f>E178</f>
        <v>1461587.5270286901</v>
      </c>
      <c r="F151" s="291"/>
      <c r="G151" s="292">
        <f>G178</f>
        <v>1434412.2047996959</v>
      </c>
      <c r="H151" s="291"/>
      <c r="I151" s="292">
        <f>I178</f>
        <v>1414331.9174383704</v>
      </c>
      <c r="J151" s="291"/>
      <c r="K151" s="292">
        <f>K178</f>
        <v>1369062.3485078462</v>
      </c>
      <c r="L151" s="291"/>
      <c r="M151" s="292">
        <f>M178</f>
        <v>1331390.0303964524</v>
      </c>
      <c r="N151" s="291"/>
      <c r="O151" s="292">
        <f>O178</f>
        <v>1288925.0835670221</v>
      </c>
      <c r="P151" s="291"/>
      <c r="Q151" s="292">
        <f>Q178</f>
        <v>1258925.0835670221</v>
      </c>
      <c r="R151" s="291"/>
    </row>
    <row r="152" spans="1:18" ht="24" hidden="1" thickBot="1" x14ac:dyDescent="0.3">
      <c r="A152" s="132"/>
      <c r="B152" s="290"/>
      <c r="C152" s="290"/>
      <c r="D152" s="181" t="s">
        <v>442</v>
      </c>
      <c r="E152" s="179">
        <f>E180</f>
        <v>1416331.8623175619</v>
      </c>
      <c r="F152" s="293"/>
      <c r="G152" s="179">
        <f>G180</f>
        <v>1390015.6124456485</v>
      </c>
      <c r="H152" s="293"/>
      <c r="I152" s="179">
        <f>I180</f>
        <v>1370570.1076141859</v>
      </c>
      <c r="J152" s="293"/>
      <c r="K152" s="179">
        <f>K180</f>
        <v>1326731.6104096002</v>
      </c>
      <c r="L152" s="293"/>
      <c r="M152" s="179">
        <f>M180</f>
        <v>1290250.1980340776</v>
      </c>
      <c r="N152" s="293"/>
      <c r="O152" s="179">
        <f>O180</f>
        <v>1249127.6625901931</v>
      </c>
      <c r="P152" s="293"/>
      <c r="Q152" s="179">
        <f>Q180</f>
        <v>1219127.6625901931</v>
      </c>
      <c r="R152" s="293"/>
    </row>
    <row r="153" spans="1:18" ht="24" hidden="1" thickBot="1" x14ac:dyDescent="0.4">
      <c r="B153" s="294"/>
      <c r="C153" s="295"/>
      <c r="D153" s="296"/>
      <c r="E153" s="21">
        <v>45992</v>
      </c>
      <c r="F153" s="22"/>
      <c r="G153" s="21">
        <v>45992</v>
      </c>
      <c r="H153" s="22"/>
      <c r="I153" s="21">
        <v>45992</v>
      </c>
      <c r="J153" s="22"/>
      <c r="K153" s="21">
        <v>45992</v>
      </c>
      <c r="L153" s="22"/>
      <c r="M153" s="21">
        <v>45992</v>
      </c>
      <c r="N153" s="22"/>
      <c r="O153" s="21">
        <v>45992</v>
      </c>
      <c r="P153" s="22"/>
      <c r="Q153" s="21">
        <v>45992</v>
      </c>
      <c r="R153" s="22"/>
    </row>
    <row r="154" spans="1:18" ht="16.5" hidden="1" thickBot="1" x14ac:dyDescent="0.3">
      <c r="B154" s="290">
        <v>400</v>
      </c>
      <c r="C154" s="290"/>
      <c r="D154" s="290" t="s">
        <v>451</v>
      </c>
      <c r="E154" s="297" cm="1">
        <f t="array" ref="E154">punbasjub*indicedic26*porjubcar*frac</f>
        <v>240141.33491444576</v>
      </c>
      <c r="F154" s="252"/>
      <c r="G154" s="297">
        <f>punbasjub*indicenov26*porjubcar*frac</f>
        <v>235432.68128867226</v>
      </c>
      <c r="H154" s="252"/>
      <c r="I154" s="297">
        <f>punbasjub*indicesep26*porjubcar*frac</f>
        <v>231953.38057997273</v>
      </c>
      <c r="J154" s="252"/>
      <c r="K154" s="297">
        <f>punbasjub*indicejul26*porjubcar*frac</f>
        <v>224109.54645407997</v>
      </c>
      <c r="L154" s="252"/>
      <c r="M154" s="297">
        <f>punbasjub*indicemay26*porjubcar*frac</f>
        <v>217582.08393599998</v>
      </c>
      <c r="N154" s="252"/>
      <c r="O154" s="297">
        <f>punbasjub*indicedic25*porjubcar*frac</f>
        <v>210224.19519761164</v>
      </c>
      <c r="P154" s="252"/>
      <c r="Q154" s="297">
        <f>punbasjub*indicedic25*porjubcar*frac</f>
        <v>210224.19519761164</v>
      </c>
      <c r="R154" s="252"/>
    </row>
    <row r="155" spans="1:18" ht="16.5" hidden="1" thickBot="1" x14ac:dyDescent="0.3">
      <c r="B155" s="290">
        <v>542</v>
      </c>
      <c r="C155" s="290"/>
      <c r="D155" s="290" t="s">
        <v>452</v>
      </c>
      <c r="E155" s="297" cm="1">
        <f t="array" ref="E155">compbasico2016*indicedic26*porjubcar*frac</f>
        <v>102560.87702267832</v>
      </c>
      <c r="F155" s="252"/>
      <c r="G155" s="297">
        <f>compbasico2016*indicenov26*porjubcar*frac</f>
        <v>100549.87943399836</v>
      </c>
      <c r="H155" s="252"/>
      <c r="I155" s="297">
        <f>compbasico2016*indicesep26*porjubcar*frac</f>
        <v>99063.920624628925</v>
      </c>
      <c r="J155" s="252"/>
      <c r="K155" s="297">
        <f>compbasico2016*indicejul26*porjubcar*frac</f>
        <v>95713.93297065598</v>
      </c>
      <c r="L155" s="252"/>
      <c r="M155" s="297">
        <f>compbasico2016*indicemay26*porjubcar*frac</f>
        <v>92926.148515199995</v>
      </c>
      <c r="N155" s="252"/>
      <c r="O155" s="297">
        <f>compbasico2016*indicedic25*porjubcar*frac</f>
        <v>89783.701079762657</v>
      </c>
      <c r="P155" s="252"/>
      <c r="Q155" s="297">
        <f>compbasico2016*indicedic25*porjubcar*frac</f>
        <v>89783.701079762657</v>
      </c>
      <c r="R155" s="252"/>
    </row>
    <row r="156" spans="1:18" ht="16.5" hidden="1" thickBot="1" x14ac:dyDescent="0.3">
      <c r="B156" s="298" t="s">
        <v>453</v>
      </c>
      <c r="C156" s="298"/>
      <c r="D156" s="290" t="s">
        <v>454</v>
      </c>
      <c r="E156" s="297" cm="1">
        <f t="array" ref="E156">IF(nina=0,puntosadicdir2022*indicedic26*porjubcar*frac,puntosadicdir2016*indicedic26*porjubcar*frac)</f>
        <v>0</v>
      </c>
      <c r="F156" s="252"/>
      <c r="G156" s="297">
        <f>IF(nina=0,puntosadicdir2022*indicenov26*porjubcar*frac,puntosadicdir2016*indicenov26*porjubcar*frac)</f>
        <v>0</v>
      </c>
      <c r="H156" s="252"/>
      <c r="I156" s="297">
        <f>IF(nina=0,puntosadicdir2022*indicesep26*porjubcar*frac,puntosadicdir2016*indicesep26*porjubcar*frac)</f>
        <v>0</v>
      </c>
      <c r="J156" s="252"/>
      <c r="K156" s="297">
        <f>IF(nina=0,puntosadicdir2022*indicejul26*porjubcar*frac,puntosadicdir2016*indicejul26*porjubcar*frac)</f>
        <v>0</v>
      </c>
      <c r="L156" s="252"/>
      <c r="M156" s="297">
        <f>IF(nina=0,puntosadicdir2022*indicemay26*porjubcar*frac,puntosadicdir2016*indicemay26*porjubcar*frac)</f>
        <v>0</v>
      </c>
      <c r="N156" s="252"/>
      <c r="O156" s="297">
        <f>IF(nina=0,puntosadicdir2022*indicedic25*porjubcar*frac,puntosadicdir2016*indicedic25*porjubcar*frac)</f>
        <v>0</v>
      </c>
      <c r="P156" s="252"/>
      <c r="Q156" s="297">
        <f>IF(nina=0,puntosadicdir2022*indicedic25*porjubcar*frac,puntosadicdir2016*indicedic25*porjubcar*frac)</f>
        <v>0</v>
      </c>
      <c r="R156" s="252"/>
    </row>
    <row r="157" spans="1:18" ht="16.5" hidden="1" thickBot="1" x14ac:dyDescent="0.3">
      <c r="B157" s="299">
        <v>430</v>
      </c>
      <c r="C157" s="299"/>
      <c r="D157" s="300" t="s">
        <v>455</v>
      </c>
      <c r="E157" s="301" cm="1">
        <f t="array" ref="E157">puntosadicnina*Indiceproljordic26*nina*porjubcar*frac</f>
        <v>0</v>
      </c>
      <c r="F157" s="252"/>
      <c r="G157" s="301">
        <f>puntosadicnina*Indiceproljornov26*nina*porjubcar*frac</f>
        <v>0</v>
      </c>
      <c r="H157" s="252"/>
      <c r="I157" s="301">
        <f>puntosadicnina*Indiceproljorsep26*nina*porjubcar*frac</f>
        <v>0</v>
      </c>
      <c r="J157" s="252"/>
      <c r="K157" s="301">
        <f>puntosadicnina*Indiceproljorjul26*nina*porjubcar*frac</f>
        <v>0</v>
      </c>
      <c r="L157" s="252"/>
      <c r="M157" s="301">
        <f>puntosadicnina*Indiceproljormay26*porjubcar*frac</f>
        <v>0</v>
      </c>
      <c r="N157" s="252"/>
      <c r="O157" s="301">
        <f>puntosadicnina*Indiceproljordic25*porjubcar*frac</f>
        <v>0</v>
      </c>
      <c r="P157" s="302"/>
      <c r="Q157" s="301">
        <f>puntosadicnina*Indiceproljordic25*porjubcar*frac</f>
        <v>0</v>
      </c>
      <c r="R157" s="302"/>
    </row>
    <row r="158" spans="1:18" ht="16.5" hidden="1" thickBot="1" x14ac:dyDescent="0.3">
      <c r="B158" s="290">
        <v>404</v>
      </c>
      <c r="C158" s="290"/>
      <c r="D158" s="303" t="s">
        <v>456</v>
      </c>
      <c r="E158" s="297" cm="1">
        <f t="array" ref="E158">puntostareadifer*indicedic26*porjubcar*frac</f>
        <v>0</v>
      </c>
      <c r="F158" s="252"/>
      <c r="G158" s="297">
        <f>puntostareadifer*indicenov26*porjubcar*frac</f>
        <v>0</v>
      </c>
      <c r="H158" s="252"/>
      <c r="I158" s="297">
        <f>puntostareadifer*indicesep26*porjubcar*frac</f>
        <v>0</v>
      </c>
      <c r="J158" s="252"/>
      <c r="K158" s="297">
        <f>puntostareadifer*indicejul26*porjubcar*frac</f>
        <v>0</v>
      </c>
      <c r="L158" s="252"/>
      <c r="M158" s="297">
        <f>puntostareadifer*indicemay26*porjubcar*frac</f>
        <v>0</v>
      </c>
      <c r="N158" s="252"/>
      <c r="O158" s="297">
        <f>puntostareadifer*indicedic25*porjubcar*frac</f>
        <v>0</v>
      </c>
      <c r="P158" s="304"/>
      <c r="Q158" s="297">
        <f>puntostareadifer*indicedic25*porjubcar*frac</f>
        <v>0</v>
      </c>
      <c r="R158" s="304"/>
    </row>
    <row r="159" spans="1:18" ht="16.5" hidden="1" thickBot="1" x14ac:dyDescent="0.3">
      <c r="B159" s="290">
        <v>406</v>
      </c>
      <c r="C159" s="290"/>
      <c r="D159" s="290" t="s">
        <v>457</v>
      </c>
      <c r="E159" s="297">
        <f>(E154+E155+E156+E157+E158+E161+E165+E166)*porcantigcargo</f>
        <v>587198.46994518826</v>
      </c>
      <c r="F159" s="252"/>
      <c r="G159" s="297">
        <f>(G154+G155+G156+G157+G158+G161+G165+G166)*porcantigcargo</f>
        <v>576167.12739724328</v>
      </c>
      <c r="H159" s="252"/>
      <c r="I159" s="297">
        <f>(I154+I155+I156+I157+I158+I161+I165+I166)*porcantigcargo</f>
        <v>568015.88906132348</v>
      </c>
      <c r="J159" s="252"/>
      <c r="K159" s="297">
        <f>(K154+K155+K156+K157+K158+K161+K165+K166)*porcantigcargo</f>
        <v>549639.50633944315</v>
      </c>
      <c r="L159" s="252"/>
      <c r="M159" s="297">
        <f>(M154+M155+M156+M157+M158+M161+M165+M166)*porcantigcargo</f>
        <v>534347.09353343991</v>
      </c>
      <c r="N159" s="252"/>
      <c r="O159" s="297">
        <f>(O154+O155+O156+O157+O158+O161+O165+O166)*porcantigcargo</f>
        <v>517109.17425678152</v>
      </c>
      <c r="P159" s="252"/>
      <c r="Q159" s="297">
        <f>(Q154+Q155+Q156+Q157+Q158+Q161+Q165+Q166)*porcantigcargo</f>
        <v>517109.17425678152</v>
      </c>
      <c r="R159" s="252"/>
    </row>
    <row r="160" spans="1:18" ht="16.5" hidden="1" thickBot="1" x14ac:dyDescent="0.3">
      <c r="B160" s="290">
        <v>408</v>
      </c>
      <c r="C160" s="290"/>
      <c r="D160" s="290" t="s">
        <v>458</v>
      </c>
      <c r="E160" s="297">
        <f>(E154+E155+E156+E157+E158+E161)*porczona</f>
        <v>0</v>
      </c>
      <c r="F160" s="252"/>
      <c r="G160" s="297">
        <f>(G154+G155+G156+G157+G158+G161)*porczona</f>
        <v>0</v>
      </c>
      <c r="H160" s="252"/>
      <c r="I160" s="297">
        <f>(I154+I155+I156+I157+I158+I161)*porczona</f>
        <v>0</v>
      </c>
      <c r="J160" s="252"/>
      <c r="K160" s="297">
        <f>(K154+K155+K156+K157+K158+K161)*porczona</f>
        <v>0</v>
      </c>
      <c r="L160" s="252"/>
      <c r="M160" s="297">
        <f>(M154+M155+M156+M157+M158+M161)*porczona</f>
        <v>0</v>
      </c>
      <c r="N160" s="252"/>
      <c r="O160" s="297">
        <f>(O154+O155+O156+O157+O158+O161)*porczona</f>
        <v>0</v>
      </c>
      <c r="P160" s="252"/>
      <c r="Q160" s="297">
        <f>(Q154+Q155+Q156+Q157+Q158+Q161)*porczona</f>
        <v>0</v>
      </c>
      <c r="R160" s="252"/>
    </row>
    <row r="161" spans="2:18" ht="16.5" hidden="1" thickBot="1" x14ac:dyDescent="0.3">
      <c r="B161" s="290">
        <v>416</v>
      </c>
      <c r="C161" s="290"/>
      <c r="D161" s="290" t="s">
        <v>459</v>
      </c>
      <c r="E161" s="297" cm="1">
        <f t="array" ref="E161">puntosproljor*Indiceproljordic26*porjubcar*frac</f>
        <v>0</v>
      </c>
      <c r="F161" s="252"/>
      <c r="G161" s="297">
        <f>puntosproljor*Indiceproljornov26*porjubcar*frac</f>
        <v>0</v>
      </c>
      <c r="H161" s="252"/>
      <c r="I161" s="297">
        <f>puntosproljor*Indiceproljorsep26*porjubcar*frac</f>
        <v>0</v>
      </c>
      <c r="J161" s="252"/>
      <c r="K161" s="297">
        <f>puntosproljor*Indiceproljorjul26*porjubcar*frac</f>
        <v>0</v>
      </c>
      <c r="L161" s="252"/>
      <c r="M161" s="297">
        <f>puntosproljor*Indiceproljormay26*porjubcar*frac</f>
        <v>0</v>
      </c>
      <c r="N161" s="252"/>
      <c r="O161" s="297">
        <f>puntosproljor*Indiceproljordic25*porjubcar*frac</f>
        <v>0</v>
      </c>
      <c r="P161" s="252"/>
      <c r="Q161" s="297">
        <f>puntosproljor*Indiceproljordic25*porjubcar*frac</f>
        <v>0</v>
      </c>
      <c r="R161" s="252"/>
    </row>
    <row r="162" spans="2:18" ht="21.75" hidden="1" customHeight="1" thickBot="1" x14ac:dyDescent="0.3">
      <c r="B162" s="290">
        <v>432</v>
      </c>
      <c r="C162" s="290"/>
      <c r="D162" s="290" t="s">
        <v>460</v>
      </c>
      <c r="E162" s="565">
        <f>cod06dic25*porjubcar*frac*(1+aumentodiciembre26)</f>
        <v>317675.85731841571</v>
      </c>
      <c r="F162" s="252"/>
      <c r="G162" s="565">
        <f>cod06dic25*porjubcar*frac*(1+aumentonoviembre26)</f>
        <v>311446.91893962323</v>
      </c>
      <c r="H162" s="252"/>
      <c r="I162" s="565">
        <f>cod06dic25*porjubcar*frac*(1+aumentoseptiembre26)</f>
        <v>306844.25511292933</v>
      </c>
      <c r="J162" s="252"/>
      <c r="K162" s="565">
        <f>cod06dic25*porjubcar*frac*(1+aumentojulio26)</f>
        <v>296467.87933616363</v>
      </c>
      <c r="L162" s="252"/>
      <c r="M162" s="565">
        <f>cod06dic25*porjubcar*frac*(1+aumentomayo26)</f>
        <v>287832.89255938213</v>
      </c>
      <c r="N162" s="252"/>
      <c r="O162" s="565">
        <f>cod06dic25*porjubcar*frac</f>
        <v>278099.41310085234</v>
      </c>
      <c r="P162" s="252"/>
      <c r="Q162" s="565">
        <f>cod06dic25*porjubcar*frac</f>
        <v>278099.41310085234</v>
      </c>
      <c r="R162" s="252"/>
    </row>
    <row r="163" spans="2:18" ht="16.5" hidden="1" thickBot="1" x14ac:dyDescent="0.3">
      <c r="B163" s="290">
        <v>434</v>
      </c>
      <c r="C163" s="290"/>
      <c r="D163" s="290" t="s">
        <v>461</v>
      </c>
      <c r="E163" s="297">
        <f>(E154+E155+E156+E157+E158+E159+E160+E161+E162+E164+E165+E166)*0.07*0.95</f>
        <v>94061.625356775374</v>
      </c>
      <c r="F163" s="252"/>
      <c r="G163" s="297">
        <f>(G154+G155+G156+G157+G158+G159+G160+G161+G162+G164+G165+G166)*0.07*0.95</f>
        <v>92276.086624289572</v>
      </c>
      <c r="H163" s="252"/>
      <c r="I163" s="297">
        <f>(I154+I155+I156+I157+I158+I159+I160+I161+I162+I164+I165+I166)*0.07*0.95</f>
        <v>90956.723028856723</v>
      </c>
      <c r="J163" s="252"/>
      <c r="K163" s="297">
        <f>(K154+K155+K156+K157+K158+K159+K160+K161+K162+K164+K165+K166)*0.07*0.95</f>
        <v>87982.312346721505</v>
      </c>
      <c r="L163" s="252"/>
      <c r="M163" s="297">
        <f>(M154+M155+M156+M157+M158+M159+M160+M161+M162+M164+M165+M166)*0.07*0.95</f>
        <v>85507.074608467461</v>
      </c>
      <c r="N163" s="252"/>
      <c r="O163" s="297">
        <f>(O154+O155+O156+O157+O158+O159+O160+O161+O162+O164+O165+O166)*0.07*0.95</f>
        <v>82716.939989345978</v>
      </c>
      <c r="P163" s="252"/>
      <c r="Q163" s="297">
        <f>(Q154+Q155+Q156+Q157+Q158+Q159+Q160+Q161+Q162+Q164+Q165+Q166)*0.07*0.95</f>
        <v>82716.939989345978</v>
      </c>
      <c r="R163" s="252"/>
    </row>
    <row r="164" spans="2:18" ht="16.5" hidden="1" thickBot="1" x14ac:dyDescent="0.3">
      <c r="B164" s="290">
        <v>437</v>
      </c>
      <c r="C164" s="290"/>
      <c r="D164" s="305" t="s">
        <v>462</v>
      </c>
      <c r="E164" s="306">
        <f>IF(AND(puntosproljor&lt;620,PUNTOSbasicos&lt;2200),21623,43246)*porjubcar*frac*(1+aumentodiciembre26)</f>
        <v>20254.146129571753</v>
      </c>
      <c r="F164" s="252"/>
      <c r="G164" s="306">
        <f>IF(AND(puntosproljor&lt;620,PUNTOSbasicos&lt;2200),21623,43246)*porjubcar*frac*(1+aumentonoviembre26)</f>
        <v>19857.006009384069</v>
      </c>
      <c r="H164" s="252"/>
      <c r="I164" s="306">
        <f>IF(AND(puntosproljor&lt;620,PUNTOSbasicos&lt;2200),21623,43246)*porjubcar*frac*(1+aumentoseptiembre26)</f>
        <v>19563.552718604999</v>
      </c>
      <c r="J164" s="252"/>
      <c r="K164" s="306">
        <f>IF(AND(puntosproljor&lt;620,PUNTOSbasicos&lt;2200),21623,43246)*porjubcar*frac*(1+aumentojulio26)</f>
        <v>18901.983303000001</v>
      </c>
      <c r="L164" s="252"/>
      <c r="M164" s="306">
        <f>IF(AND(puntosproljor&lt;620,PUNTOSbasicos&lt;2200),21623,43246)*porjubcar*frac*(1+aumentomayo26)</f>
        <v>18351.4401</v>
      </c>
      <c r="N164" s="252"/>
      <c r="O164" s="306">
        <f>IF(AND(puntosproljor&lt;620,PUNTOSbasicos&lt;2200),21623,43246)*porjubcar*frac</f>
        <v>17730.86</v>
      </c>
      <c r="P164" s="208"/>
      <c r="Q164" s="306">
        <f>IF(AND(puntosproljor&lt;620,PUNTOSbasicos&lt;2200),21623,43246)*porjubcar*frac</f>
        <v>17730.86</v>
      </c>
      <c r="R164" s="208"/>
    </row>
    <row r="165" spans="2:18" ht="18.75" hidden="1" thickBot="1" x14ac:dyDescent="0.3">
      <c r="B165" s="204">
        <v>1622</v>
      </c>
      <c r="C165" s="307">
        <f>C106</f>
        <v>1</v>
      </c>
      <c r="D165" s="308" t="s">
        <v>443</v>
      </c>
      <c r="E165" s="309">
        <f>IF(AND(porcantigcargo&gt;=50%,$C165=1),25000,0)*porjubcar*frac</f>
        <v>20500</v>
      </c>
      <c r="F165" s="252"/>
      <c r="G165" s="309">
        <f>IF(AND(porcantigcargo&gt;=50%,$C165=1),25000,0)*porjubcar*frac</f>
        <v>20500</v>
      </c>
      <c r="H165" s="252"/>
      <c r="I165" s="309">
        <f>IF(AND(porcantigcargo&gt;=50%,$C165=1),25000,0)*porjubcar*frac</f>
        <v>20500</v>
      </c>
      <c r="J165" s="252"/>
      <c r="K165" s="309">
        <f>IF(AND(porcantigcargo&gt;=50%,$C165=1),25000,0)*porjubcar*frac</f>
        <v>20500</v>
      </c>
      <c r="L165" s="252"/>
      <c r="M165" s="309">
        <f>IF(AND(porcantigcargo&gt;=50%,$C165=1),25000,0)*porjubcar*frac</f>
        <v>20500</v>
      </c>
      <c r="N165" s="252"/>
      <c r="O165" s="309">
        <f>IF(AND(porcantigcargo&gt;=50%,$C165=1),25000,0)*porjubcar*frac</f>
        <v>20500</v>
      </c>
      <c r="P165" s="310"/>
      <c r="Q165" s="309">
        <f>IF(AND(porcantigcargo&gt;=50%,$C165=1),25000,0)*porjubcar*frac</f>
        <v>20500</v>
      </c>
      <c r="R165" s="310"/>
    </row>
    <row r="166" spans="2:18" ht="18.75" hidden="1" thickBot="1" x14ac:dyDescent="0.3">
      <c r="B166" s="617"/>
      <c r="C166" s="621"/>
      <c r="D166" s="623" t="s">
        <v>516</v>
      </c>
      <c r="E166" s="622" cm="1">
        <f t="array" ref="E166">puntosnep*indicedic26*NEP*porjubcar*frac</f>
        <v>126129.8463505328</v>
      </c>
      <c r="F166" s="252"/>
      <c r="G166" s="622">
        <f>puntosnep*indicenov26*NEP*porjubcar*frac</f>
        <v>123656.71210836546</v>
      </c>
      <c r="H166" s="252"/>
      <c r="I166" s="622">
        <f>puntosnep*indicesep26*NEP*porjubcar*frac</f>
        <v>121829.27301316797</v>
      </c>
      <c r="J166" s="252"/>
      <c r="K166" s="622">
        <f>puntosnep*indicejul26*NEP*porjubcar*frac</f>
        <v>117709.44252479999</v>
      </c>
      <c r="L166" s="252"/>
      <c r="M166" s="622">
        <f>puntosnep*indicemay26*NEP*porjubcar*frac</f>
        <v>114281.01215999998</v>
      </c>
      <c r="N166" s="252"/>
      <c r="O166" s="622">
        <f>puntosnep*indicedic25*NEP*porjubcar*frac</f>
        <v>110416.41560327697</v>
      </c>
      <c r="P166" s="310"/>
      <c r="Q166" s="622">
        <f>puntosnep*indicedic25*NEP*porjubcar*frac</f>
        <v>110416.41560327697</v>
      </c>
      <c r="R166" s="310"/>
    </row>
    <row r="167" spans="2:18" ht="21" hidden="1" thickBot="1" x14ac:dyDescent="0.35">
      <c r="B167" s="568">
        <v>1650</v>
      </c>
      <c r="C167" s="567">
        <f>C108</f>
        <v>1</v>
      </c>
      <c r="D167" s="569" t="s">
        <v>500</v>
      </c>
      <c r="E167" s="570">
        <f>30000*frac</f>
        <v>30000</v>
      </c>
      <c r="F167" s="252"/>
      <c r="G167" s="570">
        <f>30000*frac</f>
        <v>30000</v>
      </c>
      <c r="H167" s="252"/>
      <c r="I167" s="570">
        <f>30000*frac</f>
        <v>30000</v>
      </c>
      <c r="J167" s="252"/>
      <c r="K167" s="570">
        <f>30000*frac</f>
        <v>30000</v>
      </c>
      <c r="L167" s="252"/>
      <c r="M167" s="570">
        <f>30000*frac</f>
        <v>30000</v>
      </c>
      <c r="N167" s="252"/>
      <c r="O167" s="570">
        <f>30000*frac</f>
        <v>30000</v>
      </c>
      <c r="P167" s="310"/>
      <c r="Q167" s="570">
        <v>0</v>
      </c>
      <c r="R167" s="310"/>
    </row>
    <row r="168" spans="2:18" ht="16.5" hidden="1" thickBot="1" x14ac:dyDescent="0.3">
      <c r="B168" s="290"/>
      <c r="C168" s="290"/>
      <c r="D168" s="290" t="s">
        <v>463</v>
      </c>
      <c r="E168" s="311">
        <f>E109</f>
        <v>0</v>
      </c>
      <c r="F168" s="252"/>
      <c r="G168" s="311">
        <f>G109</f>
        <v>0</v>
      </c>
      <c r="H168" s="252"/>
      <c r="I168" s="311">
        <f>I109</f>
        <v>0</v>
      </c>
      <c r="J168" s="252"/>
      <c r="K168" s="311">
        <f>K109</f>
        <v>0</v>
      </c>
      <c r="L168" s="252"/>
      <c r="M168" s="311">
        <f>M109</f>
        <v>0</v>
      </c>
      <c r="N168" s="252"/>
      <c r="O168" s="311">
        <f>O109</f>
        <v>0</v>
      </c>
      <c r="P168" s="252"/>
      <c r="Q168" s="311">
        <f>Q109</f>
        <v>0</v>
      </c>
      <c r="R168" s="252"/>
    </row>
    <row r="169" spans="2:18" ht="18.75" hidden="1" thickBot="1" x14ac:dyDescent="0.3">
      <c r="B169" s="290"/>
      <c r="C169" s="290"/>
      <c r="D169" s="312" t="s">
        <v>464</v>
      </c>
      <c r="E169" s="313">
        <f>SUM(E154:E168)</f>
        <v>1538522.1570376081</v>
      </c>
      <c r="F169" s="314"/>
      <c r="G169" s="313">
        <f>SUM(G154:G168)</f>
        <v>1509886.4118015764</v>
      </c>
      <c r="H169" s="314"/>
      <c r="I169" s="313">
        <f>SUM(I154:I168)</f>
        <v>1488726.9941394841</v>
      </c>
      <c r="J169" s="314"/>
      <c r="K169" s="313">
        <f>SUM(K154:K168)</f>
        <v>1441024.6032748644</v>
      </c>
      <c r="L169" s="314"/>
      <c r="M169" s="313">
        <f>SUM(M154:M168)</f>
        <v>1401327.7454124894</v>
      </c>
      <c r="N169" s="314"/>
      <c r="O169" s="313">
        <f>SUM(O154:O168)</f>
        <v>1356580.6992276313</v>
      </c>
      <c r="P169" s="314"/>
      <c r="Q169" s="313">
        <f>SUM(Q154:Q168)</f>
        <v>1326580.6992276313</v>
      </c>
      <c r="R169" s="314"/>
    </row>
    <row r="170" spans="2:18" ht="16.5" hidden="1" thickBot="1" x14ac:dyDescent="0.3">
      <c r="B170" s="290">
        <v>703</v>
      </c>
      <c r="C170" s="315">
        <v>2.5000000000000001E-3</v>
      </c>
      <c r="D170" s="316" t="s">
        <v>465</v>
      </c>
      <c r="E170" s="317">
        <f>(E169-E168-E167)*$C170</f>
        <v>3771.3053925940203</v>
      </c>
      <c r="F170" s="318"/>
      <c r="G170" s="317">
        <f>(G169-G168-G167)*$C170</f>
        <v>3699.7160295039412</v>
      </c>
      <c r="H170" s="318"/>
      <c r="I170" s="317">
        <f>(I169-I168-I167)*$C170</f>
        <v>3646.8174853487103</v>
      </c>
      <c r="J170" s="318"/>
      <c r="K170" s="317">
        <f>(K169-K168-K167)*$C170</f>
        <v>3527.5615081871611</v>
      </c>
      <c r="L170" s="318"/>
      <c r="M170" s="317">
        <f>(M169-M168-M167)*$C170</f>
        <v>3428.3193635312236</v>
      </c>
      <c r="N170" s="318"/>
      <c r="O170" s="317">
        <f>(O169-O168-O167)*$C170</f>
        <v>3316.4517480690783</v>
      </c>
      <c r="P170" s="318"/>
      <c r="Q170" s="317">
        <f>(Q169-Q168-Q167)*$C170</f>
        <v>3316.4517480690783</v>
      </c>
      <c r="R170" s="318"/>
    </row>
    <row r="171" spans="2:18" ht="16.5" hidden="1" thickBot="1" x14ac:dyDescent="0.3">
      <c r="B171" s="290">
        <v>707</v>
      </c>
      <c r="C171" s="319">
        <v>0.03</v>
      </c>
      <c r="D171" s="290" t="s">
        <v>466</v>
      </c>
      <c r="E171" s="317">
        <f>(E169-E168-E167)*$C171</f>
        <v>45255.664711128244</v>
      </c>
      <c r="F171" s="252"/>
      <c r="G171" s="317">
        <f>(G169-G168-G167)*$C171</f>
        <v>44396.592354047287</v>
      </c>
      <c r="H171" s="252"/>
      <c r="I171" s="317">
        <f>(I169-I168-I167)*$C171</f>
        <v>43761.809824184522</v>
      </c>
      <c r="J171" s="252"/>
      <c r="K171" s="317">
        <f>(K169-K168-K167)*$C171</f>
        <v>42330.738098245929</v>
      </c>
      <c r="L171" s="252"/>
      <c r="M171" s="317">
        <f>(M169-M168-M167)*$C171</f>
        <v>41139.832362374684</v>
      </c>
      <c r="N171" s="252"/>
      <c r="O171" s="317">
        <f>(O169-O168-O167)*$C171</f>
        <v>39797.420976828937</v>
      </c>
      <c r="P171" s="252"/>
      <c r="Q171" s="317">
        <f>(Q169-Q168-Q167)*$C171</f>
        <v>39797.420976828937</v>
      </c>
      <c r="R171" s="252"/>
    </row>
    <row r="172" spans="2:18" ht="16.5" hidden="1" thickBot="1" x14ac:dyDescent="0.3">
      <c r="B172" s="290">
        <v>709</v>
      </c>
      <c r="C172" s="320">
        <f>C113</f>
        <v>1.5E-3</v>
      </c>
      <c r="D172" s="290" t="s">
        <v>467</v>
      </c>
      <c r="E172" s="317">
        <f>(E169-E168-E167)*$C172</f>
        <v>2262.7832355564124</v>
      </c>
      <c r="F172" s="252"/>
      <c r="G172" s="317">
        <f>(G169-G168-G167)*$C172</f>
        <v>2219.8296177023644</v>
      </c>
      <c r="H172" s="252"/>
      <c r="I172" s="317">
        <f>(I169-I168-I167)*$C172</f>
        <v>2188.0904912092265</v>
      </c>
      <c r="J172" s="252"/>
      <c r="K172" s="317">
        <f>(K169-K168-K167)*$C172</f>
        <v>2116.5369049122964</v>
      </c>
      <c r="L172" s="252"/>
      <c r="M172" s="317">
        <f>(M169-M168-M167)*$C172</f>
        <v>2056.9916181187341</v>
      </c>
      <c r="N172" s="252"/>
      <c r="O172" s="317">
        <f>(O169-O168-O167)*$C172</f>
        <v>1989.871048841447</v>
      </c>
      <c r="P172" s="252"/>
      <c r="Q172" s="317">
        <f>(Q169-Q168-Q167)*$C172</f>
        <v>1989.871048841447</v>
      </c>
      <c r="R172" s="252"/>
    </row>
    <row r="173" spans="2:18" ht="16.5" hidden="1" thickBot="1" x14ac:dyDescent="0.3">
      <c r="B173" s="290">
        <v>713</v>
      </c>
      <c r="C173" s="321">
        <v>7.0000000000000001E-3</v>
      </c>
      <c r="D173" s="290" t="s">
        <v>468</v>
      </c>
      <c r="E173" s="317">
        <f>(E169-E168-E167)*$C173</f>
        <v>10559.655099263256</v>
      </c>
      <c r="F173" s="252"/>
      <c r="G173" s="317">
        <f>(G169-G168-G167)*$C173</f>
        <v>10359.204882611035</v>
      </c>
      <c r="H173" s="252"/>
      <c r="I173" s="317">
        <f>(I169-I168-I167)*$C173</f>
        <v>10211.088958976388</v>
      </c>
      <c r="J173" s="252"/>
      <c r="K173" s="317">
        <f>(K169-K168-K167)*$C173</f>
        <v>9877.1722229240513</v>
      </c>
      <c r="L173" s="252"/>
      <c r="M173" s="317">
        <f>(M169-M168-M167)*$C173</f>
        <v>9599.2942178874255</v>
      </c>
      <c r="N173" s="252"/>
      <c r="O173" s="317">
        <f>(O169-O168-O167)*$C173</f>
        <v>9286.064894593419</v>
      </c>
      <c r="P173" s="252"/>
      <c r="Q173" s="317">
        <f>(Q169-Q168-Q167)*$C173</f>
        <v>9286.064894593419</v>
      </c>
      <c r="R173" s="252"/>
    </row>
    <row r="174" spans="2:18" ht="16.5" hidden="1" thickBot="1" x14ac:dyDescent="0.3">
      <c r="B174" s="290">
        <v>787</v>
      </c>
      <c r="C174" s="319">
        <f>C115</f>
        <v>0.01</v>
      </c>
      <c r="D174" s="290" t="s">
        <v>469</v>
      </c>
      <c r="E174" s="317">
        <f>(E169-E168-E167)*$C174</f>
        <v>15085.221570376081</v>
      </c>
      <c r="F174" s="252"/>
      <c r="G174" s="317">
        <f>(G169-G168-G167)*$C174</f>
        <v>14798.864118015765</v>
      </c>
      <c r="H174" s="252"/>
      <c r="I174" s="317">
        <f>(I169-I168-I167)*$C174</f>
        <v>14587.269941394841</v>
      </c>
      <c r="J174" s="252"/>
      <c r="K174" s="317">
        <f>(K169-K168-K167)*$C174</f>
        <v>14110.246032748644</v>
      </c>
      <c r="L174" s="252"/>
      <c r="M174" s="317">
        <f>(M169-M168-M167)*$C174</f>
        <v>13713.277454124895</v>
      </c>
      <c r="N174" s="252"/>
      <c r="O174" s="317">
        <f>(O169-O168-O167)*$C174</f>
        <v>13265.806992276313</v>
      </c>
      <c r="P174" s="252"/>
      <c r="Q174" s="317">
        <f>(Q169-Q168-Q167)*$C174</f>
        <v>13265.806992276313</v>
      </c>
      <c r="R174" s="252"/>
    </row>
    <row r="175" spans="2:18" ht="16.5" hidden="1" thickBot="1" x14ac:dyDescent="0.3">
      <c r="B175" s="290"/>
      <c r="C175" s="290"/>
      <c r="D175" s="290" t="s">
        <v>470</v>
      </c>
      <c r="E175" s="322"/>
      <c r="F175" s="252"/>
      <c r="G175" s="322"/>
      <c r="H175" s="252"/>
      <c r="I175" s="322"/>
      <c r="J175" s="252"/>
      <c r="K175" s="322"/>
      <c r="L175" s="252"/>
      <c r="M175" s="322"/>
      <c r="N175" s="252"/>
      <c r="O175" s="322"/>
      <c r="P175" s="252"/>
      <c r="Q175" s="322"/>
      <c r="R175" s="252"/>
    </row>
    <row r="176" spans="2:18" ht="16.5" hidden="1" thickBot="1" x14ac:dyDescent="0.3">
      <c r="B176" s="290"/>
      <c r="C176" s="290"/>
      <c r="D176" s="323" t="s">
        <v>471</v>
      </c>
      <c r="E176" s="324">
        <f>SUM(E170:E175)</f>
        <v>76934.630008918</v>
      </c>
      <c r="F176" s="325"/>
      <c r="G176" s="324">
        <f>SUM(G170:G175)</f>
        <v>75474.207001880393</v>
      </c>
      <c r="H176" s="325"/>
      <c r="I176" s="324">
        <f>SUM(I170:I175)</f>
        <v>74395.076701113678</v>
      </c>
      <c r="J176" s="325"/>
      <c r="K176" s="324">
        <f>SUM(K170:K175)</f>
        <v>71962.254767018079</v>
      </c>
      <c r="L176" s="325"/>
      <c r="M176" s="324">
        <f>SUM(M170:M175)</f>
        <v>69937.715016036964</v>
      </c>
      <c r="N176" s="325"/>
      <c r="O176" s="324">
        <f>SUM(O170:O175)</f>
        <v>67655.615660609183</v>
      </c>
      <c r="P176" s="325"/>
      <c r="Q176" s="324">
        <f>SUM(Q170:Q175)</f>
        <v>67655.615660609183</v>
      </c>
      <c r="R176" s="325"/>
    </row>
    <row r="177" spans="2:18" ht="16.5" hidden="1" thickBot="1" x14ac:dyDescent="0.3">
      <c r="B177" s="323"/>
      <c r="C177" s="323"/>
      <c r="D177" s="290"/>
      <c r="E177" s="326"/>
      <c r="F177" s="252"/>
      <c r="G177" s="326"/>
      <c r="H177" s="252"/>
      <c r="I177" s="326"/>
      <c r="J177" s="252"/>
      <c r="K177" s="326"/>
      <c r="L177" s="252"/>
      <c r="M177" s="326"/>
      <c r="N177" s="252"/>
      <c r="O177" s="326"/>
      <c r="P177" s="252"/>
      <c r="Q177" s="326"/>
      <c r="R177" s="252"/>
    </row>
    <row r="178" spans="2:18" ht="21" hidden="1" thickBot="1" x14ac:dyDescent="0.35">
      <c r="B178" s="298"/>
      <c r="C178" s="298"/>
      <c r="D178" s="327" t="s">
        <v>472</v>
      </c>
      <c r="E178" s="328">
        <f>E169-E176</f>
        <v>1461587.5270286901</v>
      </c>
      <c r="F178" s="329"/>
      <c r="G178" s="328">
        <f>G169-G176</f>
        <v>1434412.2047996959</v>
      </c>
      <c r="H178" s="329"/>
      <c r="I178" s="328">
        <f>I169-I176</f>
        <v>1414331.9174383704</v>
      </c>
      <c r="J178" s="329"/>
      <c r="K178" s="328">
        <f>K169-K176</f>
        <v>1369062.3485078462</v>
      </c>
      <c r="L178" s="329"/>
      <c r="M178" s="328">
        <f>M169-M176</f>
        <v>1331390.0303964524</v>
      </c>
      <c r="N178" s="329"/>
      <c r="O178" s="328">
        <f>O169-O176</f>
        <v>1288925.0835670221</v>
      </c>
      <c r="P178" s="329"/>
      <c r="Q178" s="328">
        <f>Q169-Q176</f>
        <v>1258925.0835670221</v>
      </c>
      <c r="R178" s="329"/>
    </row>
    <row r="179" spans="2:18" ht="16.5" hidden="1" thickBot="1" x14ac:dyDescent="0.3">
      <c r="B179" s="298"/>
      <c r="C179" s="298"/>
      <c r="D179" s="236" t="s">
        <v>444</v>
      </c>
      <c r="E179" s="330">
        <f>(E169-E168-E167)*0.03</f>
        <v>45255.664711128244</v>
      </c>
      <c r="F179" s="331"/>
      <c r="G179" s="330">
        <f>(G169-G168-G167)*0.03</f>
        <v>44396.592354047287</v>
      </c>
      <c r="H179" s="331"/>
      <c r="I179" s="330">
        <f>(I169-I168-I167)*0.03</f>
        <v>43761.809824184522</v>
      </c>
      <c r="J179" s="331"/>
      <c r="K179" s="330">
        <f>(K169-K168-K167)*0.03</f>
        <v>42330.738098245929</v>
      </c>
      <c r="L179" s="331"/>
      <c r="M179" s="330">
        <f>(M169-M168-M167)*0.03</f>
        <v>41139.832362374684</v>
      </c>
      <c r="N179" s="331"/>
      <c r="O179" s="330">
        <f>(O169-O168-O167)*0.03</f>
        <v>39797.420976828937</v>
      </c>
      <c r="P179" s="331"/>
      <c r="Q179" s="330">
        <f>(Q169-Q168-Q167)*0.03</f>
        <v>39797.420976828937</v>
      </c>
      <c r="R179" s="331"/>
    </row>
    <row r="180" spans="2:18" ht="21" hidden="1" thickBot="1" x14ac:dyDescent="0.35">
      <c r="B180" s="298"/>
      <c r="C180" s="298"/>
      <c r="D180" s="237" t="s">
        <v>445</v>
      </c>
      <c r="E180" s="332">
        <f>E178-E179</f>
        <v>1416331.8623175619</v>
      </c>
      <c r="F180" s="331"/>
      <c r="G180" s="332">
        <f>G178-G179</f>
        <v>1390015.6124456485</v>
      </c>
      <c r="H180" s="331"/>
      <c r="I180" s="332">
        <f>I178-I179</f>
        <v>1370570.1076141859</v>
      </c>
      <c r="J180" s="331"/>
      <c r="K180" s="332">
        <f>K178-K179</f>
        <v>1326731.6104096002</v>
      </c>
      <c r="L180" s="331"/>
      <c r="M180" s="332">
        <f>M178-M179</f>
        <v>1290250.1980340776</v>
      </c>
      <c r="N180" s="331"/>
      <c r="O180" s="332">
        <f>O178-O179</f>
        <v>1249127.6625901931</v>
      </c>
      <c r="P180" s="331"/>
      <c r="Q180" s="332">
        <f>Q178-Q179</f>
        <v>1219127.6625901931</v>
      </c>
      <c r="R180" s="331"/>
    </row>
    <row r="181" spans="2:18" ht="16.5" hidden="1" thickBot="1" x14ac:dyDescent="0.3">
      <c r="B181" s="298"/>
      <c r="C181" s="298"/>
      <c r="D181" s="331"/>
      <c r="E181" s="333"/>
      <c r="F181" s="334"/>
      <c r="G181" s="333"/>
      <c r="H181" s="334"/>
      <c r="I181" s="333"/>
      <c r="J181" s="334"/>
      <c r="K181" s="333"/>
      <c r="L181" s="334"/>
      <c r="M181" s="333"/>
      <c r="N181" s="334"/>
      <c r="O181" s="333"/>
      <c r="P181" s="334"/>
      <c r="Q181" s="333"/>
      <c r="R181" s="334"/>
    </row>
    <row r="182" spans="2:18" ht="18.75" hidden="1" thickBot="1" x14ac:dyDescent="0.3">
      <c r="B182" s="290"/>
      <c r="C182" s="335"/>
      <c r="D182" s="336" t="s">
        <v>473</v>
      </c>
      <c r="E182" s="337">
        <f>E178-G178</f>
        <v>27175.32222899422</v>
      </c>
      <c r="F182" s="338"/>
      <c r="G182" s="337">
        <f>G178-I178</f>
        <v>20080.287361325463</v>
      </c>
      <c r="H182" s="338"/>
      <c r="I182" s="337">
        <f>I178-K178</f>
        <v>45269.568930524169</v>
      </c>
      <c r="J182" s="338"/>
      <c r="K182" s="337">
        <f>K178-M178</f>
        <v>37672.318111393834</v>
      </c>
      <c r="L182" s="338"/>
      <c r="M182" s="337">
        <f>M178-O178</f>
        <v>42464.946829430293</v>
      </c>
      <c r="N182" s="338"/>
      <c r="O182" s="337">
        <f>O178-Q178</f>
        <v>30000</v>
      </c>
      <c r="P182" s="338"/>
      <c r="Q182" s="337"/>
      <c r="R182" s="338"/>
    </row>
    <row r="183" spans="2:18" ht="18.75" hidden="1" thickBot="1" x14ac:dyDescent="0.3">
      <c r="B183" s="339"/>
      <c r="C183" s="335"/>
      <c r="D183" s="336" t="s">
        <v>474</v>
      </c>
      <c r="E183" s="340">
        <f>E182/G178</f>
        <v>1.894526701464384E-2</v>
      </c>
      <c r="F183" s="338"/>
      <c r="G183" s="340">
        <f>G182/I178</f>
        <v>1.4197719158947329E-2</v>
      </c>
      <c r="H183" s="338"/>
      <c r="I183" s="340">
        <f>I182/K178</f>
        <v>3.3066111985231274E-2</v>
      </c>
      <c r="J183" s="338"/>
      <c r="K183" s="340">
        <f>K182/M178</f>
        <v>2.8295478598541122E-2</v>
      </c>
      <c r="L183" s="338"/>
      <c r="M183" s="340">
        <f>M182/O178</f>
        <v>3.2946016312997123E-2</v>
      </c>
      <c r="N183" s="338"/>
      <c r="O183" s="340">
        <f>O182/Q178</f>
        <v>2.38298532546499E-2</v>
      </c>
      <c r="P183" s="338"/>
      <c r="Q183" s="340"/>
      <c r="R183" s="338"/>
    </row>
    <row r="184" spans="2:18" ht="16.5" hidden="1" thickBot="1" x14ac:dyDescent="0.3">
      <c r="B184" s="290"/>
      <c r="C184" s="335"/>
      <c r="D184" s="290"/>
      <c r="E184" s="290"/>
      <c r="F184" s="252"/>
      <c r="G184" s="290"/>
      <c r="H184" s="252"/>
      <c r="I184" s="290"/>
      <c r="J184" s="252"/>
      <c r="K184" s="290"/>
      <c r="L184" s="252"/>
      <c r="M184" s="290"/>
      <c r="N184" s="252"/>
      <c r="O184" s="290"/>
      <c r="P184" s="252"/>
      <c r="Q184" s="290"/>
      <c r="R184" s="252"/>
    </row>
    <row r="185" spans="2:18" ht="18.75" hidden="1" thickBot="1" x14ac:dyDescent="0.3">
      <c r="B185" s="290"/>
      <c r="C185" s="335"/>
      <c r="D185" s="250" t="s">
        <v>446</v>
      </c>
      <c r="E185" s="341">
        <f>E180-G180</f>
        <v>26316.249871913344</v>
      </c>
      <c r="F185" s="252"/>
      <c r="G185" s="341">
        <f>G180-I180</f>
        <v>19445.504831462633</v>
      </c>
      <c r="H185" s="252"/>
      <c r="I185" s="341">
        <f>I180-K180</f>
        <v>43838.497204585699</v>
      </c>
      <c r="J185" s="252"/>
      <c r="K185" s="341">
        <f>K180-M180</f>
        <v>36481.412375522545</v>
      </c>
      <c r="L185" s="252"/>
      <c r="M185" s="341">
        <f>M180-O180</f>
        <v>41122.535443884553</v>
      </c>
      <c r="N185" s="252"/>
      <c r="O185" s="341">
        <f>O180-Q180</f>
        <v>30000</v>
      </c>
      <c r="P185" s="252"/>
      <c r="Q185" s="341"/>
      <c r="R185" s="252"/>
    </row>
    <row r="186" spans="2:18" ht="18.75" hidden="1" thickBot="1" x14ac:dyDescent="0.3">
      <c r="B186" s="290"/>
      <c r="C186" s="335"/>
      <c r="D186" s="250" t="s">
        <v>447</v>
      </c>
      <c r="E186" s="342">
        <f>E185/G180</f>
        <v>1.8932341217097189E-2</v>
      </c>
      <c r="F186" s="252"/>
      <c r="G186" s="342">
        <f>G185/I180</f>
        <v>1.4187895039759996E-2</v>
      </c>
      <c r="H186" s="252"/>
      <c r="I186" s="342">
        <f>I185/K180</f>
        <v>3.3042475856176742E-2</v>
      </c>
      <c r="J186" s="252"/>
      <c r="K186" s="342">
        <f>K185/M180</f>
        <v>2.8274680702322984E-2</v>
      </c>
      <c r="L186" s="252"/>
      <c r="M186" s="342">
        <f>M185/O180</f>
        <v>3.2921002933049129E-2</v>
      </c>
      <c r="N186" s="252"/>
      <c r="O186" s="342">
        <f>O185/Q180</f>
        <v>2.4607759236847396E-2</v>
      </c>
      <c r="P186" s="252"/>
      <c r="Q186" s="342"/>
      <c r="R186" s="252"/>
    </row>
    <row r="187" spans="2:18" ht="16.5" hidden="1" thickBot="1" x14ac:dyDescent="0.3">
      <c r="B187" s="290"/>
      <c r="C187" s="335"/>
      <c r="D187" s="290"/>
      <c r="E187" s="290"/>
      <c r="F187" s="252"/>
      <c r="G187" s="290"/>
      <c r="H187" s="252"/>
      <c r="I187" s="290"/>
      <c r="J187" s="252"/>
      <c r="K187" s="290"/>
      <c r="L187" s="252"/>
      <c r="M187" s="290"/>
      <c r="N187" s="252"/>
      <c r="O187" s="290"/>
      <c r="P187" s="252"/>
      <c r="Q187" s="290"/>
      <c r="R187" s="252"/>
    </row>
    <row r="188" spans="2:18" ht="18.75" hidden="1" thickBot="1" x14ac:dyDescent="0.3">
      <c r="B188" s="290"/>
      <c r="C188" s="335"/>
      <c r="D188" s="336" t="s">
        <v>475</v>
      </c>
      <c r="E188" s="343">
        <f>E178-$Q178</f>
        <v>202662.44346166798</v>
      </c>
      <c r="F188" s="344"/>
      <c r="G188" s="343">
        <f>G178-$Q178</f>
        <v>175487.12123267376</v>
      </c>
      <c r="H188" s="344"/>
      <c r="I188" s="343">
        <f>I178-$Q178</f>
        <v>155406.8338713483</v>
      </c>
      <c r="J188" s="344"/>
      <c r="K188" s="343">
        <f>K178-$Q178</f>
        <v>110137.26494082413</v>
      </c>
      <c r="L188" s="344"/>
      <c r="M188" s="343">
        <f>M178-$Q178</f>
        <v>72464.946829430293</v>
      </c>
      <c r="N188" s="344"/>
      <c r="O188" s="343">
        <f>O178-$Q178</f>
        <v>30000</v>
      </c>
      <c r="P188" s="344"/>
      <c r="Q188" s="343"/>
      <c r="R188" s="344"/>
    </row>
    <row r="189" spans="2:18" ht="18.75" hidden="1" thickBot="1" x14ac:dyDescent="0.3">
      <c r="B189" s="290"/>
      <c r="C189" s="335"/>
      <c r="D189" s="336" t="s">
        <v>476</v>
      </c>
      <c r="E189" s="345">
        <f>E188/$Q178</f>
        <v>0.16098054293067768</v>
      </c>
      <c r="F189" s="338"/>
      <c r="G189" s="345">
        <f>G188/$Q178</f>
        <v>0.13939441156851909</v>
      </c>
      <c r="H189" s="338"/>
      <c r="I189" s="345">
        <f>I188/$Q178</f>
        <v>0.12344406819746619</v>
      </c>
      <c r="J189" s="338"/>
      <c r="K189" s="345">
        <f>K188/$Q178</f>
        <v>8.7485162046944537E-2</v>
      </c>
      <c r="L189" s="338"/>
      <c r="M189" s="345">
        <f>M188/$Q178</f>
        <v>5.7560968301711049E-2</v>
      </c>
      <c r="N189" s="338"/>
      <c r="O189" s="345">
        <f>O188/$Q178</f>
        <v>2.38298532546499E-2</v>
      </c>
      <c r="P189" s="338"/>
      <c r="Q189" s="345"/>
      <c r="R189" s="338"/>
    </row>
    <row r="190" spans="2:18" ht="16.5" hidden="1" thickBot="1" x14ac:dyDescent="0.3">
      <c r="B190" s="290"/>
      <c r="C190" s="335"/>
      <c r="D190" s="346"/>
      <c r="E190" s="347"/>
      <c r="F190" s="262"/>
      <c r="G190" s="347"/>
      <c r="H190" s="262"/>
      <c r="I190" s="347"/>
      <c r="J190" s="262"/>
      <c r="K190" s="347"/>
      <c r="L190" s="262"/>
      <c r="M190" s="347"/>
      <c r="N190" s="262"/>
      <c r="O190" s="347"/>
      <c r="P190" s="262"/>
      <c r="Q190" s="347"/>
      <c r="R190" s="262"/>
    </row>
    <row r="191" spans="2:18" ht="18.75" hidden="1" thickBot="1" x14ac:dyDescent="0.3">
      <c r="B191" s="290"/>
      <c r="C191" s="335"/>
      <c r="D191" s="261" t="s">
        <v>448</v>
      </c>
      <c r="E191" s="343">
        <f>E180-$Q180</f>
        <v>197204.19972736877</v>
      </c>
      <c r="F191" s="348"/>
      <c r="G191" s="343">
        <f>G180-$Q180</f>
        <v>170887.94985545543</v>
      </c>
      <c r="H191" s="348"/>
      <c r="I191" s="343">
        <f>I180-$Q180</f>
        <v>151442.4450239928</v>
      </c>
      <c r="J191" s="348"/>
      <c r="K191" s="343">
        <f>K180-$Q180</f>
        <v>107603.9478194071</v>
      </c>
      <c r="L191" s="348"/>
      <c r="M191" s="343">
        <f>M180-$Q180</f>
        <v>71122.535443884553</v>
      </c>
      <c r="N191" s="348"/>
      <c r="O191" s="343">
        <f>O180-$Q180</f>
        <v>30000</v>
      </c>
      <c r="P191" s="348"/>
      <c r="Q191" s="343"/>
      <c r="R191" s="348"/>
    </row>
    <row r="192" spans="2:18" ht="18.75" hidden="1" thickBot="1" x14ac:dyDescent="0.3">
      <c r="B192" s="290"/>
      <c r="C192" s="335"/>
      <c r="D192" s="261" t="s">
        <v>449</v>
      </c>
      <c r="E192" s="345">
        <f>E191/$Q180</f>
        <v>0.16175844891287525</v>
      </c>
      <c r="F192" s="262"/>
      <c r="G192" s="345">
        <f>G191/$Q180</f>
        <v>0.1401723175507166</v>
      </c>
      <c r="H192" s="262"/>
      <c r="I192" s="345">
        <f>I191/$Q180</f>
        <v>0.12422197417966375</v>
      </c>
      <c r="J192" s="262"/>
      <c r="K192" s="345">
        <f>K191/$Q180</f>
        <v>8.8263068029142008E-2</v>
      </c>
      <c r="L192" s="262"/>
      <c r="M192" s="345">
        <f>M191/$Q180</f>
        <v>5.8338874283908548E-2</v>
      </c>
      <c r="N192" s="262"/>
      <c r="O192" s="345">
        <f>O191/$Q180</f>
        <v>2.4607759236847396E-2</v>
      </c>
      <c r="P192" s="262"/>
      <c r="Q192" s="345"/>
      <c r="R192" s="262"/>
    </row>
    <row r="193" spans="1:25" ht="16.5" hidden="1" thickBot="1" x14ac:dyDescent="0.3">
      <c r="B193" s="290"/>
      <c r="C193" s="335"/>
      <c r="D193" s="349"/>
      <c r="E193" s="349"/>
      <c r="F193" s="350"/>
      <c r="G193" s="349"/>
      <c r="H193" s="350"/>
      <c r="I193" s="349"/>
      <c r="J193" s="350"/>
      <c r="K193" s="349"/>
      <c r="L193" s="350"/>
      <c r="M193" s="349"/>
      <c r="N193" s="350"/>
      <c r="O193" s="349"/>
      <c r="P193" s="350"/>
      <c r="Q193" s="349"/>
      <c r="R193" s="350"/>
    </row>
    <row r="194" spans="1:25" ht="21" hidden="1" thickBot="1" x14ac:dyDescent="0.35">
      <c r="B194" s="290"/>
      <c r="C194" s="335"/>
      <c r="D194" s="351" t="s">
        <v>477</v>
      </c>
      <c r="E194" s="352"/>
      <c r="F194" s="353"/>
      <c r="G194" s="352"/>
      <c r="H194" s="353"/>
      <c r="I194" s="352"/>
      <c r="J194" s="353"/>
      <c r="K194" s="352"/>
      <c r="L194" s="353"/>
      <c r="M194" s="352"/>
      <c r="N194" s="353"/>
      <c r="O194" s="352"/>
      <c r="P194" s="353"/>
      <c r="Q194" s="352"/>
      <c r="R194" s="353"/>
    </row>
    <row r="195" spans="1:25" ht="16.5" hidden="1" thickBot="1" x14ac:dyDescent="0.3">
      <c r="B195" s="290"/>
      <c r="C195" s="335"/>
      <c r="D195" s="354"/>
      <c r="E195" s="290"/>
      <c r="F195" s="355"/>
      <c r="G195" s="290"/>
      <c r="H195" s="355"/>
      <c r="I195" s="290"/>
      <c r="J195" s="355"/>
      <c r="K195" s="290"/>
      <c r="L195" s="355"/>
      <c r="M195" s="290"/>
      <c r="N195" s="355"/>
      <c r="O195" s="290"/>
      <c r="P195" s="355"/>
      <c r="Q195" s="290"/>
      <c r="R195" s="355"/>
    </row>
    <row r="196" spans="1:25" ht="16.5" hidden="1" thickBot="1" x14ac:dyDescent="0.3">
      <c r="B196" s="290"/>
      <c r="C196" s="335"/>
      <c r="D196" s="356" t="s">
        <v>478</v>
      </c>
      <c r="E196" s="356">
        <f>E169*0.5</f>
        <v>769261.07851880405</v>
      </c>
      <c r="F196" s="357"/>
      <c r="G196" s="356">
        <f>G169*0.5</f>
        <v>754943.20590078819</v>
      </c>
      <c r="H196" s="357"/>
      <c r="I196" s="356">
        <f>I169*0.5</f>
        <v>744363.49706974206</v>
      </c>
      <c r="J196" s="357"/>
      <c r="K196" s="356">
        <f>K169*0.5</f>
        <v>720512.30163743219</v>
      </c>
      <c r="L196" s="357"/>
      <c r="M196" s="356">
        <f>M169*0.5</f>
        <v>700663.8727062447</v>
      </c>
      <c r="N196" s="357"/>
      <c r="O196" s="356">
        <f>O169*0.5</f>
        <v>678290.34961381566</v>
      </c>
      <c r="P196" s="357"/>
      <c r="Q196" s="356">
        <f>Q169*0.5</f>
        <v>663290.34961381566</v>
      </c>
      <c r="R196" s="357"/>
    </row>
    <row r="197" spans="1:25" ht="16.5" hidden="1" thickBot="1" x14ac:dyDescent="0.3">
      <c r="B197" s="290"/>
      <c r="C197" s="290"/>
      <c r="D197" s="354"/>
      <c r="E197" s="290"/>
      <c r="F197" s="355"/>
      <c r="G197" s="290"/>
      <c r="H197" s="355"/>
      <c r="I197" s="290"/>
      <c r="J197" s="355"/>
      <c r="K197" s="290"/>
      <c r="L197" s="355"/>
      <c r="M197" s="290"/>
      <c r="N197" s="355"/>
      <c r="O197" s="290"/>
      <c r="P197" s="355"/>
      <c r="Q197" s="290"/>
      <c r="R197" s="355"/>
    </row>
    <row r="198" spans="1:25" ht="16.5" hidden="1" thickBot="1" x14ac:dyDescent="0.3">
      <c r="B198" s="290"/>
      <c r="C198" s="290"/>
      <c r="D198" s="356" t="s">
        <v>471</v>
      </c>
      <c r="E198" s="290"/>
      <c r="F198" s="357"/>
      <c r="G198" s="290"/>
      <c r="H198" s="357"/>
      <c r="I198" s="290"/>
      <c r="J198" s="357"/>
      <c r="K198" s="290"/>
      <c r="L198" s="357"/>
      <c r="M198" s="290"/>
      <c r="N198" s="357"/>
      <c r="O198" s="290"/>
      <c r="P198" s="357"/>
      <c r="Q198" s="290"/>
      <c r="R198" s="357"/>
    </row>
    <row r="199" spans="1:25" ht="16.5" hidden="1" thickBot="1" x14ac:dyDescent="0.3">
      <c r="B199" s="290">
        <v>703</v>
      </c>
      <c r="C199" s="315">
        <v>2.5000000000000001E-3</v>
      </c>
      <c r="D199" s="316" t="s">
        <v>465</v>
      </c>
      <c r="E199" s="317">
        <f>E196*0.0025</f>
        <v>1923.1526962970102</v>
      </c>
      <c r="F199" s="318"/>
      <c r="G199" s="317">
        <f>G196*0.0025</f>
        <v>1887.3580147519706</v>
      </c>
      <c r="H199" s="318"/>
      <c r="I199" s="317">
        <f>I196*0.0025</f>
        <v>1860.9087426743552</v>
      </c>
      <c r="J199" s="318"/>
      <c r="K199" s="317">
        <f>K196*0.0025</f>
        <v>1801.2807540935805</v>
      </c>
      <c r="L199" s="318"/>
      <c r="M199" s="317">
        <f>M196*0.0025</f>
        <v>1751.6596817656118</v>
      </c>
      <c r="N199" s="318"/>
      <c r="O199" s="317">
        <f>O196*0.0025</f>
        <v>1695.7258740345392</v>
      </c>
      <c r="P199" s="318"/>
      <c r="Q199" s="317">
        <f>Q196*0.0025</f>
        <v>1658.2258740345392</v>
      </c>
      <c r="R199" s="318"/>
    </row>
    <row r="200" spans="1:25" ht="16.5" hidden="1" thickBot="1" x14ac:dyDescent="0.3">
      <c r="B200" s="290">
        <v>707</v>
      </c>
      <c r="C200" s="319">
        <v>0.03</v>
      </c>
      <c r="D200" s="290" t="s">
        <v>466</v>
      </c>
      <c r="E200" s="317">
        <f>E196*0.03</f>
        <v>23077.832355564122</v>
      </c>
      <c r="F200" s="252"/>
      <c r="G200" s="317">
        <f>G196*0.03</f>
        <v>22648.296177023643</v>
      </c>
      <c r="H200" s="252"/>
      <c r="I200" s="317">
        <f>I196*0.03</f>
        <v>22330.904912092261</v>
      </c>
      <c r="J200" s="252"/>
      <c r="K200" s="317">
        <f>K196*0.03</f>
        <v>21615.369049122964</v>
      </c>
      <c r="L200" s="252"/>
      <c r="M200" s="317">
        <f>M196*0.03</f>
        <v>21019.916181187342</v>
      </c>
      <c r="N200" s="252"/>
      <c r="O200" s="317">
        <f>O196*0.03</f>
        <v>20348.710488414468</v>
      </c>
      <c r="P200" s="252"/>
      <c r="Q200" s="317">
        <f>Q196*0.03</f>
        <v>19898.710488414468</v>
      </c>
      <c r="R200" s="252"/>
    </row>
    <row r="201" spans="1:25" ht="16.5" hidden="1" thickBot="1" x14ac:dyDescent="0.3">
      <c r="B201" s="290">
        <v>709</v>
      </c>
      <c r="C201" s="320">
        <f>C142</f>
        <v>1.5E-3</v>
      </c>
      <c r="D201" s="290" t="s">
        <v>467</v>
      </c>
      <c r="E201" s="317">
        <f>E196*0.0015</f>
        <v>1153.8916177782062</v>
      </c>
      <c r="F201" s="252"/>
      <c r="G201" s="317">
        <f>G196*0.0015</f>
        <v>1132.4148088511822</v>
      </c>
      <c r="H201" s="252"/>
      <c r="I201" s="317">
        <f>I196*0.0015</f>
        <v>1116.5452456046132</v>
      </c>
      <c r="J201" s="252"/>
      <c r="K201" s="317">
        <f>K196*0.0015</f>
        <v>1080.7684524561482</v>
      </c>
      <c r="L201" s="252"/>
      <c r="M201" s="317">
        <f>M196*0.0015</f>
        <v>1050.995809059367</v>
      </c>
      <c r="N201" s="252"/>
      <c r="O201" s="317">
        <f>O196*0.0015</f>
        <v>1017.4355244207235</v>
      </c>
      <c r="P201" s="252"/>
      <c r="Q201" s="317">
        <f>Q196*0.0015</f>
        <v>994.93552442072348</v>
      </c>
      <c r="R201" s="252"/>
    </row>
    <row r="202" spans="1:25" ht="16.5" hidden="1" thickBot="1" x14ac:dyDescent="0.3">
      <c r="B202" s="290">
        <v>713</v>
      </c>
      <c r="C202" s="321">
        <v>7.0000000000000001E-3</v>
      </c>
      <c r="D202" s="290" t="s">
        <v>468</v>
      </c>
      <c r="E202" s="317">
        <f>E196*0.007</f>
        <v>5384.8275496316282</v>
      </c>
      <c r="F202" s="252"/>
      <c r="G202" s="317">
        <f>G196*0.007</f>
        <v>5284.6024413055175</v>
      </c>
      <c r="H202" s="252"/>
      <c r="I202" s="317">
        <f>I196*0.007</f>
        <v>5210.5444794881942</v>
      </c>
      <c r="J202" s="252"/>
      <c r="K202" s="317">
        <f>K196*0.007</f>
        <v>5043.5861114620257</v>
      </c>
      <c r="L202" s="252"/>
      <c r="M202" s="317">
        <f>M196*0.007</f>
        <v>4904.6471089437127</v>
      </c>
      <c r="N202" s="252"/>
      <c r="O202" s="317">
        <f>O196*0.007</f>
        <v>4748.0324472967095</v>
      </c>
      <c r="P202" s="252"/>
      <c r="Q202" s="317">
        <f>Q196*0.007</f>
        <v>4643.0324472967095</v>
      </c>
      <c r="R202" s="252"/>
    </row>
    <row r="203" spans="1:25" ht="16.5" hidden="1" thickBot="1" x14ac:dyDescent="0.3">
      <c r="B203" s="290">
        <v>787</v>
      </c>
      <c r="C203" s="319">
        <f>C115</f>
        <v>0.01</v>
      </c>
      <c r="D203" s="290" t="s">
        <v>469</v>
      </c>
      <c r="E203" s="317">
        <f>E196*$C203</f>
        <v>7692.6107851880406</v>
      </c>
      <c r="F203" s="252"/>
      <c r="G203" s="317">
        <f>G196*$C203</f>
        <v>7549.4320590078823</v>
      </c>
      <c r="H203" s="252"/>
      <c r="I203" s="317">
        <f>I196*$C203</f>
        <v>7443.6349706974206</v>
      </c>
      <c r="J203" s="252"/>
      <c r="K203" s="317">
        <f>K196*$C203</f>
        <v>7205.1230163743221</v>
      </c>
      <c r="L203" s="252"/>
      <c r="M203" s="317">
        <f>M196*$C203</f>
        <v>7006.6387270624473</v>
      </c>
      <c r="N203" s="252"/>
      <c r="O203" s="317">
        <f>O196*$C203</f>
        <v>6782.9034961381567</v>
      </c>
      <c r="P203" s="252"/>
      <c r="Q203" s="317">
        <f>Q196*$C203</f>
        <v>6632.9034961381567</v>
      </c>
      <c r="R203" s="252"/>
    </row>
    <row r="204" spans="1:25" ht="16.5" hidden="1" thickBot="1" x14ac:dyDescent="0.3">
      <c r="B204" s="290"/>
      <c r="C204" s="290"/>
      <c r="D204" s="323" t="s">
        <v>479</v>
      </c>
      <c r="E204" s="324">
        <f>SUM(E199:E203)</f>
        <v>39232.315004459</v>
      </c>
      <c r="F204" s="325"/>
      <c r="G204" s="324">
        <f>SUM(G199:G203)</f>
        <v>38502.103500940197</v>
      </c>
      <c r="H204" s="325"/>
      <c r="I204" s="324">
        <f>SUM(I199:I203)</f>
        <v>37962.538350556839</v>
      </c>
      <c r="J204" s="325"/>
      <c r="K204" s="324">
        <f>SUM(K199:K203)</f>
        <v>36746.12738350904</v>
      </c>
      <c r="L204" s="325"/>
      <c r="M204" s="324">
        <f>SUM(M199:M203)</f>
        <v>35733.857508018482</v>
      </c>
      <c r="N204" s="325"/>
      <c r="O204" s="324">
        <f>SUM(O199:O203)</f>
        <v>34592.807830304591</v>
      </c>
      <c r="P204" s="325"/>
      <c r="Q204" s="324">
        <f>SUM(Q199:Q203)</f>
        <v>33827.807830304591</v>
      </c>
      <c r="R204" s="325"/>
    </row>
    <row r="205" spans="1:25" ht="16.5" hidden="1" thickBot="1" x14ac:dyDescent="0.3">
      <c r="B205" s="290"/>
      <c r="C205" s="290"/>
      <c r="D205" s="290"/>
      <c r="E205" s="326"/>
      <c r="F205" s="252"/>
      <c r="G205" s="326"/>
      <c r="H205" s="252"/>
      <c r="I205" s="326"/>
      <c r="J205" s="252"/>
      <c r="K205" s="326"/>
      <c r="L205" s="252"/>
      <c r="M205" s="326"/>
      <c r="N205" s="252"/>
      <c r="O205" s="326"/>
      <c r="P205" s="252"/>
      <c r="Q205" s="326"/>
      <c r="R205" s="252"/>
    </row>
    <row r="206" spans="1:25" ht="21" hidden="1" thickBot="1" x14ac:dyDescent="0.35">
      <c r="B206" s="290"/>
      <c r="C206" s="290"/>
      <c r="D206" s="327" t="s">
        <v>472</v>
      </c>
      <c r="E206" s="575">
        <f>E196-E204</f>
        <v>730028.76351434505</v>
      </c>
      <c r="F206" s="576"/>
      <c r="G206" s="575">
        <f>G196-G204</f>
        <v>716441.10239984794</v>
      </c>
      <c r="H206" s="576"/>
      <c r="I206" s="575">
        <f>I196-I204</f>
        <v>706400.9587191852</v>
      </c>
      <c r="J206" s="576"/>
      <c r="K206" s="575">
        <f>K196-K204</f>
        <v>683766.17425392312</v>
      </c>
      <c r="L206" s="576"/>
      <c r="M206" s="575">
        <f>M196-M204</f>
        <v>664930.0151982262</v>
      </c>
      <c r="N206" s="576"/>
      <c r="O206" s="575">
        <f>O196-O204</f>
        <v>643697.54178351106</v>
      </c>
      <c r="P206" s="576"/>
      <c r="Q206" s="575">
        <f>Q196-Q204</f>
        <v>629462.54178351106</v>
      </c>
      <c r="R206" s="359"/>
    </row>
    <row r="207" spans="1:25" hidden="1" x14ac:dyDescent="0.25">
      <c r="D207" s="360"/>
      <c r="E207" s="287"/>
      <c r="F207" s="121"/>
      <c r="G207" s="287"/>
      <c r="H207" s="121"/>
      <c r="I207" s="287"/>
      <c r="J207" s="121"/>
      <c r="K207" s="287"/>
      <c r="L207" s="121"/>
      <c r="M207" s="287"/>
      <c r="N207" s="121"/>
      <c r="O207" s="287"/>
      <c r="P207" s="121"/>
      <c r="Q207" s="287"/>
      <c r="R207" s="121"/>
    </row>
    <row r="208" spans="1:25" ht="23.25" hidden="1" x14ac:dyDescent="0.35">
      <c r="A208" s="132"/>
      <c r="B208" s="132"/>
      <c r="C208" s="132"/>
      <c r="D208" s="361"/>
      <c r="E208" s="21">
        <v>46357</v>
      </c>
      <c r="F208" s="22" cm="1">
        <f t="array" ref="F208">aumentodiciembre26</f>
        <v>0.14231041977499981</v>
      </c>
      <c r="G208" s="21">
        <v>46327</v>
      </c>
      <c r="H208" s="22" cm="1">
        <f t="array" ref="H208">aumentonoviembre26</f>
        <v>0.11991217624999972</v>
      </c>
      <c r="I208" s="21">
        <v>46266</v>
      </c>
      <c r="J208" s="22">
        <f>aumentoseptiembre26</f>
        <v>0.10336174999999992</v>
      </c>
      <c r="K208" s="21">
        <v>46204</v>
      </c>
      <c r="L208" s="22">
        <f>aumentojulio26</f>
        <v>6.6049999999999942E-2</v>
      </c>
      <c r="M208" s="21">
        <v>46143</v>
      </c>
      <c r="N208" s="22">
        <v>3.5000000000000003E-2</v>
      </c>
      <c r="O208" s="21">
        <v>46054</v>
      </c>
      <c r="P208" s="22">
        <v>0</v>
      </c>
      <c r="Q208" s="21">
        <v>45992</v>
      </c>
      <c r="R208" s="22"/>
      <c r="S208" s="21"/>
      <c r="T208" s="22"/>
      <c r="U208" s="21"/>
      <c r="V208" s="22"/>
      <c r="W208" s="21"/>
      <c r="X208" s="22"/>
      <c r="Y208" s="21"/>
    </row>
    <row r="209" spans="1:27" ht="16.5" thickBot="1" x14ac:dyDescent="0.3">
      <c r="A209" s="132"/>
      <c r="B209" s="362"/>
      <c r="C209" s="362"/>
      <c r="D209" s="363"/>
      <c r="E209" s="362"/>
      <c r="F209" s="362"/>
      <c r="G209" s="362"/>
      <c r="H209" s="362"/>
      <c r="I209" s="362"/>
      <c r="J209" s="362"/>
      <c r="K209" s="362"/>
      <c r="L209" s="362"/>
      <c r="M209" s="362"/>
      <c r="N209" s="362"/>
      <c r="O209" s="362"/>
      <c r="P209" s="362"/>
      <c r="Q209" s="362"/>
      <c r="R209" s="362"/>
      <c r="S209" s="362"/>
      <c r="T209" s="362"/>
      <c r="U209" s="362"/>
    </row>
    <row r="210" spans="1:27" ht="20.25" x14ac:dyDescent="0.3">
      <c r="A210" s="132"/>
      <c r="B210" s="122" t="s">
        <v>480</v>
      </c>
      <c r="C210" s="364"/>
      <c r="D210" s="361"/>
      <c r="E210" s="230"/>
      <c r="F210" s="364"/>
      <c r="G210" s="230"/>
      <c r="H210" s="364"/>
      <c r="I210" s="365">
        <v>0</v>
      </c>
      <c r="J210" s="366" t="s">
        <v>481</v>
      </c>
      <c r="K210" s="367" t="str">
        <f>numhorasmed&amp;" horas"</f>
        <v>36 horas</v>
      </c>
      <c r="L210" s="368">
        <f>porcantighorasmed</f>
        <v>1.2</v>
      </c>
    </row>
    <row r="211" spans="1:27" ht="15.75" x14ac:dyDescent="0.25">
      <c r="A211" s="132"/>
      <c r="B211" s="169"/>
      <c r="C211" s="364"/>
      <c r="D211" s="361"/>
      <c r="E211" s="230"/>
      <c r="F211" s="364"/>
      <c r="G211" s="230"/>
      <c r="H211" s="364"/>
      <c r="I211" s="159">
        <v>45992</v>
      </c>
      <c r="J211" s="160">
        <f>Q224</f>
        <v>1483477.8255756234</v>
      </c>
      <c r="K211" s="161"/>
      <c r="L211" s="96"/>
    </row>
    <row r="212" spans="1:27" ht="18" x14ac:dyDescent="0.25">
      <c r="A212" s="132"/>
      <c r="B212" s="169"/>
      <c r="C212" s="364"/>
      <c r="D212" s="361"/>
      <c r="E212" s="230"/>
      <c r="F212" s="364"/>
      <c r="G212" s="230"/>
      <c r="H212" s="364"/>
      <c r="I212" s="159">
        <v>46054</v>
      </c>
      <c r="J212" s="160">
        <f>O224</f>
        <v>1513477.8255756234</v>
      </c>
      <c r="K212" s="162">
        <f>J212-$J$211</f>
        <v>30000</v>
      </c>
      <c r="L212" s="163">
        <f>K212/J$211</f>
        <v>2.0222749193004833E-2</v>
      </c>
      <c r="M212" s="574" t="s">
        <v>501</v>
      </c>
      <c r="N212" s="573"/>
      <c r="O212" s="573"/>
      <c r="P212" s="573"/>
    </row>
    <row r="213" spans="1:27" ht="16.5" thickBot="1" x14ac:dyDescent="0.3">
      <c r="A213" s="132"/>
      <c r="B213" s="132"/>
      <c r="C213" s="132"/>
      <c r="D213" s="149"/>
      <c r="E213" s="369"/>
      <c r="F213" s="364"/>
      <c r="G213" s="369"/>
      <c r="H213" s="364"/>
      <c r="I213" s="159">
        <v>46143</v>
      </c>
      <c r="J213" s="160">
        <f>M224</f>
        <v>1563785.3277945442</v>
      </c>
      <c r="K213" s="162">
        <f>J213-$J$211</f>
        <v>80307.502218920738</v>
      </c>
      <c r="L213" s="163">
        <f>K213/J$211</f>
        <v>5.4134615856330434E-2</v>
      </c>
    </row>
    <row r="214" spans="1:27" ht="16.5" thickBot="1" x14ac:dyDescent="0.3">
      <c r="A214" s="132"/>
      <c r="B214" s="166" t="s">
        <v>482</v>
      </c>
      <c r="C214" s="167"/>
      <c r="D214" s="370">
        <v>36</v>
      </c>
      <c r="E214" s="371"/>
      <c r="F214" s="372"/>
      <c r="G214" s="371"/>
      <c r="H214" s="372"/>
      <c r="I214" s="159">
        <v>46204</v>
      </c>
      <c r="J214" s="160">
        <f>K224</f>
        <v>1608415.0750828802</v>
      </c>
      <c r="K214" s="162">
        <f>J214-$J$211</f>
        <v>124937.24950725678</v>
      </c>
      <c r="L214" s="163">
        <f>K214/J$211</f>
        <v>8.4219155388304018E-2</v>
      </c>
    </row>
    <row r="215" spans="1:27" ht="16.5" thickBot="1" x14ac:dyDescent="0.3">
      <c r="A215" s="132"/>
      <c r="B215" s="166" t="s">
        <v>435</v>
      </c>
      <c r="C215" s="167"/>
      <c r="D215" s="168">
        <v>1.2</v>
      </c>
      <c r="E215" s="374"/>
      <c r="F215" s="375"/>
      <c r="G215" s="374"/>
      <c r="H215" s="375"/>
      <c r="I215" s="159">
        <v>46266</v>
      </c>
      <c r="J215" s="160">
        <f>I224</f>
        <v>1662045.1547410311</v>
      </c>
      <c r="K215" s="162">
        <f t="shared" ref="K215:K217" si="125">J215-$J$211</f>
        <v>178567.32916540769</v>
      </c>
      <c r="L215" s="163">
        <f t="shared" ref="L215:L217" si="126">K215/J$211</f>
        <v>0.12037074372589254</v>
      </c>
      <c r="M215" s="20"/>
      <c r="N215" s="375"/>
      <c r="O215" s="376"/>
      <c r="P215" s="377"/>
      <c r="Q215" s="378"/>
    </row>
    <row r="216" spans="1:27" ht="16.5" thickBot="1" x14ac:dyDescent="0.3">
      <c r="A216" s="132"/>
      <c r="B216" s="380">
        <v>1</v>
      </c>
      <c r="C216" s="152"/>
      <c r="D216" s="381">
        <v>0.82</v>
      </c>
      <c r="E216" s="374"/>
      <c r="F216" s="382"/>
      <c r="G216" s="374"/>
      <c r="H216" s="382"/>
      <c r="I216" s="159">
        <v>46327</v>
      </c>
      <c r="J216" s="160">
        <f>G224</f>
        <v>1685833.9257893965</v>
      </c>
      <c r="K216" s="162">
        <f t="shared" si="125"/>
        <v>202356.10021377308</v>
      </c>
      <c r="L216" s="163">
        <f t="shared" si="126"/>
        <v>0.1364065554099228</v>
      </c>
      <c r="M216" s="19"/>
      <c r="N216" s="382"/>
      <c r="O216" s="374"/>
      <c r="P216" s="377"/>
      <c r="Q216" s="378"/>
    </row>
    <row r="217" spans="1:27" ht="18" x14ac:dyDescent="0.25">
      <c r="A217" s="132"/>
      <c r="B217" s="383" t="s">
        <v>483</v>
      </c>
      <c r="C217" s="157"/>
      <c r="D217" s="384">
        <v>1</v>
      </c>
      <c r="E217" s="374"/>
      <c r="F217" s="382"/>
      <c r="G217" s="374"/>
      <c r="H217" s="382"/>
      <c r="I217" s="159">
        <v>46357</v>
      </c>
      <c r="J217" s="160">
        <f>E224</f>
        <v>1718028.0626081841</v>
      </c>
      <c r="K217" s="162">
        <f t="shared" si="125"/>
        <v>234550.23703256063</v>
      </c>
      <c r="L217" s="163">
        <f t="shared" si="126"/>
        <v>0.1581083538889769</v>
      </c>
      <c r="M217" s="19"/>
      <c r="N217" s="382"/>
      <c r="O217" s="374"/>
      <c r="P217" s="377"/>
      <c r="Q217" s="378"/>
    </row>
    <row r="218" spans="1:27" ht="18" x14ac:dyDescent="0.25">
      <c r="A218" s="132"/>
      <c r="B218" s="385"/>
      <c r="C218" s="157"/>
      <c r="D218" s="386"/>
      <c r="E218" s="374"/>
      <c r="F218" s="382"/>
      <c r="G218" s="374"/>
      <c r="H218" s="382"/>
      <c r="I218" s="176" t="s">
        <v>441</v>
      </c>
      <c r="J218" s="378"/>
      <c r="K218" s="387"/>
      <c r="L218" s="379"/>
      <c r="M218" s="577"/>
      <c r="N218" s="578"/>
      <c r="O218" s="577"/>
      <c r="P218" s="579"/>
      <c r="Q218" s="580"/>
    </row>
    <row r="219" spans="1:27" ht="15.75" x14ac:dyDescent="0.25">
      <c r="A219" s="132"/>
      <c r="B219" s="385"/>
      <c r="C219" s="157"/>
      <c r="D219" s="386"/>
      <c r="E219" s="374"/>
      <c r="F219" s="382"/>
      <c r="G219" s="374"/>
      <c r="H219" s="382"/>
      <c r="I219" s="374"/>
      <c r="J219" s="382"/>
      <c r="K219" s="374"/>
      <c r="L219" s="578"/>
      <c r="M219" s="577"/>
      <c r="N219" s="578"/>
      <c r="O219" s="577"/>
      <c r="P219" s="578"/>
      <c r="Q219" s="577"/>
    </row>
    <row r="220" spans="1:27" ht="15.75" x14ac:dyDescent="0.25">
      <c r="A220" s="132"/>
      <c r="D220" s="69"/>
      <c r="E220" s="376" t="s">
        <v>484</v>
      </c>
      <c r="F220" s="388"/>
      <c r="G220" s="376" t="s">
        <v>484</v>
      </c>
      <c r="H220" s="388"/>
      <c r="I220" s="376" t="s">
        <v>484</v>
      </c>
      <c r="J220" s="388"/>
      <c r="K220" s="376"/>
      <c r="L220" s="582"/>
      <c r="M220" s="583"/>
      <c r="N220" s="582"/>
      <c r="O220" s="583"/>
      <c r="P220" s="582"/>
      <c r="Q220" s="583"/>
    </row>
    <row r="221" spans="1:27" ht="15.75" x14ac:dyDescent="0.25">
      <c r="A221" s="132"/>
      <c r="B221" s="389"/>
      <c r="C221" s="157"/>
      <c r="D221" s="390"/>
      <c r="E221" s="376"/>
      <c r="F221" s="388"/>
      <c r="G221" s="376"/>
      <c r="H221" s="388"/>
      <c r="I221" s="376"/>
      <c r="J221" s="388"/>
      <c r="K221" s="376"/>
      <c r="L221" s="582"/>
      <c r="M221" s="583"/>
      <c r="N221" s="582"/>
      <c r="O221" s="583"/>
      <c r="P221" s="582"/>
      <c r="Q221" s="583"/>
    </row>
    <row r="222" spans="1:27" ht="20.25" x14ac:dyDescent="0.3">
      <c r="A222" s="132"/>
      <c r="B222" s="389"/>
      <c r="C222" s="157"/>
      <c r="E222" s="611"/>
      <c r="G222" s="611"/>
      <c r="P222" s="581"/>
      <c r="Q222" s="581"/>
      <c r="R222" s="581"/>
      <c r="S222" s="581"/>
      <c r="T222" s="581"/>
      <c r="U222" s="584"/>
    </row>
    <row r="223" spans="1:27" ht="24" thickBot="1" x14ac:dyDescent="0.4">
      <c r="A223" s="132"/>
      <c r="B223" s="389"/>
      <c r="C223" s="157"/>
      <c r="D223" s="640" t="s">
        <v>523</v>
      </c>
      <c r="E223" s="641">
        <f>E224-E227</f>
        <v>334437.25953655364</v>
      </c>
      <c r="F223" s="609"/>
      <c r="G223" s="641">
        <f>G224-G227</f>
        <v>328058.85912407236</v>
      </c>
      <c r="H223" s="609"/>
      <c r="I223" s="641">
        <f>I224-I227</f>
        <v>323345.75537100714</v>
      </c>
      <c r="J223" s="609"/>
      <c r="K223" s="641">
        <f>K224-K227</f>
        <v>312720.40069420985</v>
      </c>
      <c r="L223" s="609" t="s">
        <v>513</v>
      </c>
      <c r="M223" s="641">
        <f>M224-M227</f>
        <v>303878.21927107754</v>
      </c>
      <c r="N223" s="609" t="s">
        <v>521</v>
      </c>
      <c r="O223" s="391"/>
      <c r="P223" s="609" t="s">
        <v>514</v>
      </c>
      <c r="Q223" s="391"/>
      <c r="S223" s="391"/>
      <c r="U223" s="391"/>
      <c r="V223" s="581"/>
      <c r="W223" s="585"/>
      <c r="X223" s="581"/>
      <c r="Y223" s="585"/>
      <c r="Z223" s="581"/>
      <c r="AA223" s="585"/>
    </row>
    <row r="224" spans="1:27" ht="24.75" thickTop="1" thickBot="1" x14ac:dyDescent="0.35">
      <c r="A224" s="132"/>
      <c r="B224" s="132"/>
      <c r="C224" s="132"/>
      <c r="D224" s="392" t="str">
        <f>D280</f>
        <v>Líquido</v>
      </c>
      <c r="E224" s="630">
        <f>E250</f>
        <v>1718028.0626081841</v>
      </c>
      <c r="F224" s="634"/>
      <c r="G224" s="630">
        <f>G250</f>
        <v>1685833.9257893965</v>
      </c>
      <c r="H224" s="634"/>
      <c r="I224" s="630">
        <f>I250</f>
        <v>1662045.1547410311</v>
      </c>
      <c r="J224" s="634"/>
      <c r="K224" s="630">
        <f>K250</f>
        <v>1608415.0750828802</v>
      </c>
      <c r="L224" s="634">
        <f>K224/1531473</f>
        <v>1.0502405691010421</v>
      </c>
      <c r="M224" s="632">
        <f>M250</f>
        <v>1563785.3277945442</v>
      </c>
      <c r="N224" s="608">
        <f>M224/1469768</f>
        <v>1.0639674613915557</v>
      </c>
      <c r="O224" s="393">
        <f>O250</f>
        <v>1513477.8255756234</v>
      </c>
      <c r="P224" s="180"/>
      <c r="Q224" s="393">
        <f>Q250</f>
        <v>1483477.8255756234</v>
      </c>
      <c r="R224" s="180"/>
      <c r="T224" s="581"/>
      <c r="U224" s="581"/>
      <c r="V224" s="581"/>
      <c r="W224" s="581"/>
      <c r="X224" s="581"/>
      <c r="Y224" s="581"/>
    </row>
    <row r="225" spans="1:18" ht="24.75" thickTop="1" thickBot="1" x14ac:dyDescent="0.35">
      <c r="A225" s="132"/>
      <c r="B225" s="132"/>
      <c r="C225" s="132"/>
      <c r="D225" s="181" t="s">
        <v>442</v>
      </c>
      <c r="E225" s="631">
        <f>E252</f>
        <v>1665222.179523465</v>
      </c>
      <c r="F225" s="634"/>
      <c r="G225" s="631">
        <f>G252</f>
        <v>1634035.1585592797</v>
      </c>
      <c r="H225" s="634"/>
      <c r="I225" s="631">
        <f>I252</f>
        <v>1610990.5617877143</v>
      </c>
      <c r="J225" s="634"/>
      <c r="K225" s="631">
        <f>K252</f>
        <v>1559038.1697101102</v>
      </c>
      <c r="L225" s="634">
        <f>K225/1531473</f>
        <v>1.0179991222242313</v>
      </c>
      <c r="M225" s="633">
        <f>M252</f>
        <v>1515804.5563306899</v>
      </c>
      <c r="N225" s="608">
        <f>M225/1469768</f>
        <v>1.0313223286468953</v>
      </c>
      <c r="O225" s="179">
        <f>O252</f>
        <v>1467070.8028777416</v>
      </c>
      <c r="P225" s="180"/>
      <c r="Q225" s="179">
        <f>Q252</f>
        <v>1437070.8028777416</v>
      </c>
      <c r="R225" s="180"/>
    </row>
    <row r="226" spans="1:18" ht="17.25" thickTop="1" thickBot="1" x14ac:dyDescent="0.3">
      <c r="A226" s="132"/>
      <c r="B226" s="171" t="str">
        <f>B282</f>
        <v>Puntos básicos</v>
      </c>
      <c r="C226" s="394"/>
      <c r="D226" s="172">
        <f>D282</f>
        <v>2330.2800000000002</v>
      </c>
      <c r="E226" s="376"/>
      <c r="F226" s="635"/>
      <c r="G226" s="376"/>
      <c r="H226" s="635"/>
      <c r="I226" s="376"/>
      <c r="J226" s="635"/>
      <c r="K226" s="376"/>
      <c r="L226" s="635"/>
      <c r="M226" s="597"/>
      <c r="O226" s="376"/>
      <c r="P226" s="395"/>
      <c r="Q226" s="376"/>
      <c r="R226" s="395"/>
    </row>
    <row r="227" spans="1:18" ht="23.25" x14ac:dyDescent="0.35">
      <c r="A227" s="132"/>
      <c r="B227" s="629" t="s">
        <v>522</v>
      </c>
      <c r="C227" s="639">
        <v>0.19</v>
      </c>
      <c r="D227" s="604" t="str">
        <f>"Con Desc. Reforma "&amp; descreformamed*100&amp;" %"</f>
        <v>Con Desc. Reforma 19 %</v>
      </c>
      <c r="E227" s="605">
        <f>E250-(E241-E240)*descreformamed</f>
        <v>1383590.8030716304</v>
      </c>
      <c r="F227" s="636">
        <f>E227/1531473</f>
        <v>0.90343793398357686</v>
      </c>
      <c r="G227" s="605">
        <f>G250-(G241-G240)*descreformamed</f>
        <v>1357775.0666653241</v>
      </c>
      <c r="H227" s="636">
        <f>G227/1531473</f>
        <v>0.88658113245569736</v>
      </c>
      <c r="I227" s="605">
        <f>I250-(I241-I240)*descreformamed</f>
        <v>1338699.399370024</v>
      </c>
      <c r="J227" s="636">
        <f>I227/1531473</f>
        <v>0.87412536777992433</v>
      </c>
      <c r="K227" s="605">
        <f>K250-(K241-K240)*descreformamed</f>
        <v>1295694.6743886704</v>
      </c>
      <c r="L227" s="636">
        <f>K227/1531473</f>
        <v>0.84604473888124077</v>
      </c>
      <c r="M227" s="605">
        <f>M250-(M241-M240)*descreformamed</f>
        <v>1259907.1085234666</v>
      </c>
      <c r="N227" s="610">
        <f>M227/1469768</f>
        <v>0.85721495400870518</v>
      </c>
      <c r="O227" s="605"/>
      <c r="P227" s="603"/>
      <c r="Q227" s="597"/>
      <c r="R227" s="395"/>
    </row>
    <row r="228" spans="1:18" ht="23.25" x14ac:dyDescent="0.35">
      <c r="A228" s="132"/>
      <c r="B228" s="599" t="s">
        <v>520</v>
      </c>
      <c r="C228" s="596"/>
      <c r="D228" s="606" t="s">
        <v>515</v>
      </c>
      <c r="E228" s="612">
        <f>0.82*E227/E224</f>
        <v>0.66037597592926078</v>
      </c>
      <c r="F228" s="607"/>
      <c r="G228" s="612">
        <f>0.82*G227/G224</f>
        <v>0.66043015129395055</v>
      </c>
      <c r="H228" s="607"/>
      <c r="I228" s="612">
        <f>0.82*I227/I224</f>
        <v>0.66047153072352061</v>
      </c>
      <c r="J228" s="607"/>
      <c r="K228" s="612">
        <f>0.82*K227/K224</f>
        <v>0.66056930792193769</v>
      </c>
      <c r="L228" s="607"/>
      <c r="M228" s="612">
        <f>0.82*M227/M224</f>
        <v>0.66065578863454977</v>
      </c>
      <c r="N228" s="607"/>
      <c r="O228" s="605"/>
      <c r="P228" s="603"/>
      <c r="Q228" s="597"/>
      <c r="R228" s="395"/>
    </row>
    <row r="229" spans="1:18" ht="23.25" x14ac:dyDescent="0.35">
      <c r="A229" s="132"/>
      <c r="C229" s="23"/>
      <c r="D229" s="396"/>
      <c r="E229" s="21">
        <v>46357</v>
      </c>
      <c r="F229" s="22" cm="1">
        <f t="array" ref="F229">aumentodiciembre26</f>
        <v>0.14231041977499981</v>
      </c>
      <c r="G229" s="21">
        <v>46327</v>
      </c>
      <c r="H229" s="22" cm="1">
        <f t="array" ref="H229">aumentonoviembre26</f>
        <v>0.11991217624999972</v>
      </c>
      <c r="I229" s="21">
        <v>46266</v>
      </c>
      <c r="J229" s="22">
        <f>aumentoseptiembre26</f>
        <v>0.10336174999999992</v>
      </c>
      <c r="K229" s="21">
        <v>46204</v>
      </c>
      <c r="L229" s="22">
        <v>3.5000000000000003E-2</v>
      </c>
      <c r="M229" s="21">
        <v>46143</v>
      </c>
      <c r="N229" s="22">
        <v>3.5000000000000003E-2</v>
      </c>
      <c r="O229" s="21">
        <v>46054</v>
      </c>
      <c r="P229" s="22">
        <v>0</v>
      </c>
      <c r="Q229" s="21">
        <v>45992</v>
      </c>
      <c r="R229" s="22"/>
    </row>
    <row r="230" spans="1:18" ht="16.5" thickBot="1" x14ac:dyDescent="0.3">
      <c r="A230" s="132"/>
      <c r="D230" s="397">
        <f t="shared" ref="D230:M238" si="127">D284</f>
        <v>0</v>
      </c>
      <c r="E230" s="398"/>
      <c r="F230" s="399"/>
      <c r="G230" s="398"/>
      <c r="H230" s="399"/>
      <c r="I230" s="398"/>
      <c r="J230" s="399"/>
      <c r="K230" s="398"/>
      <c r="L230" s="399"/>
      <c r="M230" s="398"/>
      <c r="N230" s="399"/>
      <c r="O230" s="398"/>
      <c r="P230" s="399"/>
      <c r="Q230" s="398"/>
      <c r="R230" s="399"/>
    </row>
    <row r="231" spans="1:18" ht="15.75" x14ac:dyDescent="0.25">
      <c r="A231" s="132"/>
      <c r="B231" s="131">
        <f t="shared" ref="B231:C237" si="128">B285</f>
        <v>400</v>
      </c>
      <c r="C231" s="131">
        <f t="shared" si="128"/>
        <v>0</v>
      </c>
      <c r="D231" s="131" t="str">
        <f t="shared" si="127"/>
        <v>Sueldo básico</v>
      </c>
      <c r="E231" s="400">
        <f t="shared" ref="E231" si="129">E285</f>
        <v>576309.52618376387</v>
      </c>
      <c r="F231" s="278"/>
      <c r="G231" s="400">
        <f t="shared" si="127"/>
        <v>565009.33939584694</v>
      </c>
      <c r="H231" s="278"/>
      <c r="I231" s="400">
        <f t="shared" ref="I231:K231" si="130">I285</f>
        <v>556659.44768063736</v>
      </c>
      <c r="J231" s="278"/>
      <c r="K231" s="400">
        <f t="shared" si="130"/>
        <v>537835.21515037445</v>
      </c>
      <c r="L231" s="278"/>
      <c r="M231" s="400">
        <f t="shared" si="127"/>
        <v>522170.11179648002</v>
      </c>
      <c r="N231" s="278"/>
      <c r="O231" s="400">
        <f t="shared" ref="O231" si="131">O285</f>
        <v>504512.08814118482</v>
      </c>
      <c r="P231" s="278"/>
      <c r="Q231" s="400">
        <f t="shared" ref="Q231" si="132">Q285</f>
        <v>504512.08814118482</v>
      </c>
      <c r="R231" s="278"/>
    </row>
    <row r="232" spans="1:18" ht="15.75" x14ac:dyDescent="0.25">
      <c r="A232" s="132"/>
      <c r="B232" s="131">
        <f t="shared" si="128"/>
        <v>406</v>
      </c>
      <c r="C232" s="131">
        <f t="shared" si="128"/>
        <v>0</v>
      </c>
      <c r="D232" s="131" t="str">
        <f t="shared" si="127"/>
        <v>Antigüedad</v>
      </c>
      <c r="E232" s="401">
        <f t="shared" ref="E232" si="133">E286</f>
        <v>716171.43142051657</v>
      </c>
      <c r="F232" s="402"/>
      <c r="G232" s="401">
        <f t="shared" si="127"/>
        <v>702611.20727501635</v>
      </c>
      <c r="H232" s="402"/>
      <c r="I232" s="401">
        <f t="shared" ref="I232:K232" si="134">I286</f>
        <v>692591.3372167648</v>
      </c>
      <c r="J232" s="402"/>
      <c r="K232" s="401">
        <f t="shared" si="134"/>
        <v>670002.25818044937</v>
      </c>
      <c r="L232" s="402"/>
      <c r="M232" s="401">
        <f t="shared" si="127"/>
        <v>651204.134155776</v>
      </c>
      <c r="N232" s="402"/>
      <c r="O232" s="401">
        <f t="shared" ref="O232" si="135">O286</f>
        <v>630014.5057694217</v>
      </c>
      <c r="P232" s="402"/>
      <c r="Q232" s="401">
        <f t="shared" ref="Q232" si="136">Q286</f>
        <v>630014.5057694217</v>
      </c>
      <c r="R232" s="402"/>
    </row>
    <row r="233" spans="1:18" ht="15.75" x14ac:dyDescent="0.25">
      <c r="A233" s="132"/>
      <c r="B233" s="131">
        <f t="shared" si="128"/>
        <v>432</v>
      </c>
      <c r="C233" s="131">
        <f t="shared" si="128"/>
        <v>0</v>
      </c>
      <c r="D233" s="131" t="str">
        <f t="shared" si="127"/>
        <v>Dto. 1109/05(cod06act)</v>
      </c>
      <c r="E233" s="401">
        <f t="shared" ref="E233" si="137">E287</f>
        <v>143040.45071580639</v>
      </c>
      <c r="F233" s="402"/>
      <c r="G233" s="401">
        <f t="shared" si="127"/>
        <v>140235.73599588859</v>
      </c>
      <c r="H233" s="402"/>
      <c r="I233" s="401">
        <f t="shared" ref="I233:K233" si="138">I287</f>
        <v>138163.28669545677</v>
      </c>
      <c r="J233" s="402"/>
      <c r="K233" s="401">
        <f t="shared" si="138"/>
        <v>133491.09825647998</v>
      </c>
      <c r="L233" s="402"/>
      <c r="M233" s="401">
        <f t="shared" si="127"/>
        <v>129603.00801599998</v>
      </c>
      <c r="N233" s="402"/>
      <c r="O233" s="401">
        <f t="shared" ref="O233" si="139">O287</f>
        <v>125220.29759999999</v>
      </c>
      <c r="P233" s="402"/>
      <c r="Q233" s="401">
        <f t="shared" ref="Q233" si="140">Q287</f>
        <v>125220.29759999999</v>
      </c>
      <c r="R233" s="402"/>
    </row>
    <row r="234" spans="1:18" ht="15.75" x14ac:dyDescent="0.25">
      <c r="A234" s="132"/>
      <c r="B234" s="131">
        <f t="shared" si="128"/>
        <v>434</v>
      </c>
      <c r="C234" s="131">
        <f t="shared" si="128"/>
        <v>0</v>
      </c>
      <c r="D234" s="131" t="str">
        <f t="shared" si="127"/>
        <v>Traslado cod 188</v>
      </c>
      <c r="E234" s="401">
        <f t="shared" ref="E234" si="141">E288</f>
        <v>109754.37490651081</v>
      </c>
      <c r="F234" s="402"/>
      <c r="G234" s="401">
        <f t="shared" si="127"/>
        <v>107661.13520246161</v>
      </c>
      <c r="H234" s="402"/>
      <c r="I234" s="401">
        <f t="shared" ref="I234:K234" si="142">I288</f>
        <v>106114.40635710504</v>
      </c>
      <c r="J234" s="402"/>
      <c r="K234" s="401">
        <f t="shared" si="142"/>
        <v>102627.41701169568</v>
      </c>
      <c r="L234" s="402"/>
      <c r="M234" s="401">
        <f t="shared" si="127"/>
        <v>99725.622826889026</v>
      </c>
      <c r="N234" s="402"/>
      <c r="O234" s="401">
        <f t="shared" ref="O234" si="143">O288</f>
        <v>96454.66508545533</v>
      </c>
      <c r="P234" s="402"/>
      <c r="Q234" s="401">
        <f t="shared" ref="Q234" si="144">Q288</f>
        <v>96454.66508545533</v>
      </c>
      <c r="R234" s="402"/>
    </row>
    <row r="235" spans="1:18" ht="15.75" x14ac:dyDescent="0.25">
      <c r="A235" s="132"/>
      <c r="B235" s="192">
        <f t="shared" si="128"/>
        <v>1458</v>
      </c>
      <c r="C235" s="131">
        <f t="shared" si="128"/>
        <v>0</v>
      </c>
      <c r="D235" s="403" t="str">
        <f t="shared" si="127"/>
        <v>Adic hs media (Cod 18 en activos)</v>
      </c>
      <c r="E235" s="404">
        <f t="shared" ref="E235" si="145">E289</f>
        <v>57352.870247770836</v>
      </c>
      <c r="F235" s="405"/>
      <c r="G235" s="404">
        <f t="shared" si="127"/>
        <v>56228.304164481211</v>
      </c>
      <c r="H235" s="405"/>
      <c r="I235" s="404">
        <f t="shared" ref="I235:K235" si="146">I289</f>
        <v>55397.344004414997</v>
      </c>
      <c r="J235" s="405"/>
      <c r="K235" s="404">
        <f t="shared" si="146"/>
        <v>53524.003868999993</v>
      </c>
      <c r="L235" s="405"/>
      <c r="M235" s="404">
        <f t="shared" si="127"/>
        <v>51965.052299999996</v>
      </c>
      <c r="N235" s="405"/>
      <c r="O235" s="404">
        <f t="shared" ref="O235" si="147">O289</f>
        <v>50207.78</v>
      </c>
      <c r="P235" s="405"/>
      <c r="Q235" s="404">
        <f t="shared" ref="Q235" si="148">Q289</f>
        <v>50207.78</v>
      </c>
      <c r="R235" s="405"/>
    </row>
    <row r="236" spans="1:18" ht="15.75" x14ac:dyDescent="0.25">
      <c r="A236" s="132"/>
      <c r="B236" s="192">
        <f t="shared" si="128"/>
        <v>437</v>
      </c>
      <c r="C236" s="131">
        <f t="shared" si="128"/>
        <v>0</v>
      </c>
      <c r="D236" s="406" t="str">
        <f t="shared" si="127"/>
        <v>DTO. N1462/18 DOCENT</v>
      </c>
      <c r="E236" s="404">
        <f t="shared" ref="E236" si="149">E290</f>
        <v>40508.292259143505</v>
      </c>
      <c r="F236" s="407"/>
      <c r="G236" s="404">
        <f t="shared" si="127"/>
        <v>39714.012018768139</v>
      </c>
      <c r="H236" s="407"/>
      <c r="I236" s="404">
        <f t="shared" ref="I236:K236" si="150">I290</f>
        <v>39127.105437209997</v>
      </c>
      <c r="J236" s="407"/>
      <c r="K236" s="404">
        <f t="shared" si="150"/>
        <v>37803.966606000002</v>
      </c>
      <c r="L236" s="407"/>
      <c r="M236" s="404">
        <f t="shared" si="127"/>
        <v>36702.8802</v>
      </c>
      <c r="N236" s="407"/>
      <c r="O236" s="404">
        <f t="shared" ref="O236" si="151">O290</f>
        <v>35461.72</v>
      </c>
      <c r="P236" s="407"/>
      <c r="Q236" s="404">
        <f t="shared" ref="Q236" si="152">Q290</f>
        <v>35461.72</v>
      </c>
      <c r="R236" s="407"/>
    </row>
    <row r="237" spans="1:18" ht="15.75" x14ac:dyDescent="0.25">
      <c r="A237" s="132"/>
      <c r="B237" s="131">
        <f t="shared" si="128"/>
        <v>0</v>
      </c>
      <c r="C237" s="131">
        <f t="shared" si="128"/>
        <v>0</v>
      </c>
      <c r="D237" s="131" t="str">
        <f t="shared" si="127"/>
        <v>Otros</v>
      </c>
      <c r="E237" s="408">
        <v>0</v>
      </c>
      <c r="F237" s="409"/>
      <c r="G237" s="408">
        <v>0</v>
      </c>
      <c r="H237" s="409"/>
      <c r="I237" s="408">
        <v>0</v>
      </c>
      <c r="J237" s="409"/>
      <c r="K237" s="408">
        <v>0</v>
      </c>
      <c r="L237" s="409"/>
      <c r="M237" s="408">
        <v>0</v>
      </c>
      <c r="N237" s="409"/>
      <c r="O237" s="408">
        <v>0</v>
      </c>
      <c r="P237" s="409"/>
      <c r="Q237" s="408">
        <v>0</v>
      </c>
      <c r="R237" s="409"/>
    </row>
    <row r="238" spans="1:18" ht="21" thickBot="1" x14ac:dyDescent="0.35">
      <c r="A238" s="132"/>
      <c r="B238" s="410">
        <f>B292</f>
        <v>1584</v>
      </c>
      <c r="C238" s="411">
        <v>15</v>
      </c>
      <c r="D238" s="406" t="str">
        <f t="shared" si="127"/>
        <v>Adic Dec 173/21 (cod 38 activos)</v>
      </c>
      <c r="E238" s="404">
        <f>E292</f>
        <v>96559.157090454799</v>
      </c>
      <c r="F238" s="407"/>
      <c r="G238" s="404">
        <f>G292</f>
        <v>94665.840284759601</v>
      </c>
      <c r="H238" s="407"/>
      <c r="I238" s="404">
        <f>I292</f>
        <v>93266.837718974988</v>
      </c>
      <c r="J238" s="407"/>
      <c r="K238" s="404">
        <f>K292</f>
        <v>90112.88668499999</v>
      </c>
      <c r="L238" s="407"/>
      <c r="M238" s="404">
        <f>M292</f>
        <v>87488.239499999996</v>
      </c>
      <c r="N238" s="407"/>
      <c r="O238" s="404">
        <f>O292</f>
        <v>84529.7</v>
      </c>
      <c r="P238" s="407"/>
      <c r="Q238" s="404">
        <f>Q292</f>
        <v>84529.7</v>
      </c>
      <c r="R238" s="407"/>
    </row>
    <row r="239" spans="1:18" ht="18.75" thickBot="1" x14ac:dyDescent="0.3">
      <c r="A239" s="132"/>
      <c r="B239" s="204">
        <v>1622</v>
      </c>
      <c r="C239" s="412">
        <v>1</v>
      </c>
      <c r="D239" s="308" t="s">
        <v>443</v>
      </c>
      <c r="E239" s="309">
        <f>E293</f>
        <v>20500</v>
      </c>
      <c r="F239" s="310"/>
      <c r="G239" s="309">
        <f>G293</f>
        <v>20500</v>
      </c>
      <c r="H239" s="310"/>
      <c r="I239" s="309">
        <f>I293</f>
        <v>20500</v>
      </c>
      <c r="J239" s="310"/>
      <c r="K239" s="309">
        <f>K293</f>
        <v>20500</v>
      </c>
      <c r="L239" s="310"/>
      <c r="M239" s="309">
        <f>M293</f>
        <v>20500</v>
      </c>
      <c r="N239" s="310"/>
      <c r="O239" s="309">
        <f>O293</f>
        <v>20500</v>
      </c>
      <c r="P239" s="310"/>
      <c r="Q239" s="309">
        <f>Q293</f>
        <v>20500</v>
      </c>
      <c r="R239" s="310"/>
    </row>
    <row r="240" spans="1:18" ht="20.25" x14ac:dyDescent="0.3">
      <c r="A240" s="132"/>
      <c r="B240" s="568">
        <v>1650</v>
      </c>
      <c r="C240" s="567">
        <v>1</v>
      </c>
      <c r="D240" s="569" t="s">
        <v>500</v>
      </c>
      <c r="E240" s="570">
        <f>E294</f>
        <v>30000</v>
      </c>
      <c r="F240" s="571"/>
      <c r="G240" s="570">
        <f>G294</f>
        <v>30000</v>
      </c>
      <c r="H240" s="571"/>
      <c r="I240" s="570">
        <f>I294</f>
        <v>30000</v>
      </c>
      <c r="J240" s="571"/>
      <c r="K240" s="570">
        <f>K294</f>
        <v>30000</v>
      </c>
      <c r="L240" s="571"/>
      <c r="M240" s="570">
        <f>M294</f>
        <v>30000</v>
      </c>
      <c r="N240" s="571"/>
      <c r="O240" s="570">
        <f>O294</f>
        <v>30000</v>
      </c>
      <c r="P240" s="571"/>
      <c r="Q240" s="570">
        <f>Q294</f>
        <v>0</v>
      </c>
      <c r="R240" s="571"/>
    </row>
    <row r="241" spans="1:18" ht="18" x14ac:dyDescent="0.25">
      <c r="A241" s="132"/>
      <c r="B241" s="131">
        <f t="shared" ref="B241:B246" si="153">B295</f>
        <v>0</v>
      </c>
      <c r="D241" s="211" t="str">
        <f t="shared" ref="D241:M248" si="154">D295</f>
        <v>Haberes</v>
      </c>
      <c r="E241" s="413">
        <f t="shared" ref="E241" si="155">E295</f>
        <v>1790196.1028239666</v>
      </c>
      <c r="F241" s="414"/>
      <c r="G241" s="413">
        <f t="shared" si="154"/>
        <v>1756625.5743372226</v>
      </c>
      <c r="H241" s="414"/>
      <c r="I241" s="413">
        <f t="shared" ref="I241:K241" si="156">I295</f>
        <v>1731819.7651105642</v>
      </c>
      <c r="J241" s="414"/>
      <c r="K241" s="413">
        <f t="shared" si="156"/>
        <v>1675896.8457589992</v>
      </c>
      <c r="L241" s="414"/>
      <c r="M241" s="413">
        <f t="shared" si="154"/>
        <v>1629359.048795145</v>
      </c>
      <c r="N241" s="414"/>
      <c r="O241" s="413">
        <f t="shared" ref="O241" si="157">O295</f>
        <v>1576900.7565960619</v>
      </c>
      <c r="P241" s="414"/>
      <c r="Q241" s="413">
        <f t="shared" ref="Q241" si="158">Q295</f>
        <v>1546900.7565960619</v>
      </c>
      <c r="R241" s="414"/>
    </row>
    <row r="242" spans="1:18" ht="15.75" x14ac:dyDescent="0.25">
      <c r="A242" s="132"/>
      <c r="B242" s="131">
        <f t="shared" si="153"/>
        <v>703</v>
      </c>
      <c r="C242" s="213">
        <f>C296</f>
        <v>2.5000000000000001E-3</v>
      </c>
      <c r="D242" s="415" t="str">
        <f t="shared" si="154"/>
        <v>Federació de  jubil</v>
      </c>
      <c r="E242" s="416">
        <f t="shared" ref="E242" si="159">E296</f>
        <v>4400.490257059917</v>
      </c>
      <c r="F242" s="276"/>
      <c r="G242" s="416">
        <f t="shared" si="154"/>
        <v>4316.5639358430562</v>
      </c>
      <c r="H242" s="276"/>
      <c r="I242" s="416">
        <f t="shared" ref="I242:K242" si="160">I296</f>
        <v>4254.5494127764105</v>
      </c>
      <c r="J242" s="276"/>
      <c r="K242" s="416">
        <f t="shared" si="160"/>
        <v>4114.742114397498</v>
      </c>
      <c r="L242" s="276"/>
      <c r="M242" s="416">
        <f t="shared" si="154"/>
        <v>3998.3976219878627</v>
      </c>
      <c r="N242" s="276"/>
      <c r="O242" s="416">
        <f t="shared" ref="O242" si="161">O296</f>
        <v>3867.2518914901548</v>
      </c>
      <c r="P242" s="276"/>
      <c r="Q242" s="416">
        <f t="shared" ref="Q242" si="162">Q296</f>
        <v>3867.2518914901548</v>
      </c>
      <c r="R242" s="276"/>
    </row>
    <row r="243" spans="1:18" ht="15.75" x14ac:dyDescent="0.25">
      <c r="A243" s="132"/>
      <c r="B243" s="131">
        <f t="shared" si="153"/>
        <v>707</v>
      </c>
      <c r="C243" s="417">
        <f>C297</f>
        <v>0.03</v>
      </c>
      <c r="D243" s="131" t="str">
        <f t="shared" si="154"/>
        <v>Aporte IOSPER</v>
      </c>
      <c r="E243" s="418">
        <f t="shared" ref="E243" si="163">E297</f>
        <v>52805.883084718997</v>
      </c>
      <c r="F243" s="402"/>
      <c r="G243" s="418">
        <f t="shared" si="154"/>
        <v>51798.767230116675</v>
      </c>
      <c r="H243" s="402"/>
      <c r="I243" s="418">
        <f t="shared" ref="I243:K243" si="164">I297</f>
        <v>51054.592953316926</v>
      </c>
      <c r="J243" s="402"/>
      <c r="K243" s="418">
        <f t="shared" si="164"/>
        <v>49376.905372769972</v>
      </c>
      <c r="L243" s="402"/>
      <c r="M243" s="418">
        <f t="shared" si="154"/>
        <v>47980.771463854348</v>
      </c>
      <c r="N243" s="402"/>
      <c r="O243" s="418">
        <f t="shared" ref="O243" si="165">O297</f>
        <v>46407.022697881854</v>
      </c>
      <c r="P243" s="402"/>
      <c r="Q243" s="418">
        <f t="shared" ref="Q243" si="166">Q297</f>
        <v>46407.022697881854</v>
      </c>
      <c r="R243" s="402"/>
    </row>
    <row r="244" spans="1:18" ht="15.75" x14ac:dyDescent="0.25">
      <c r="A244" s="132"/>
      <c r="B244" s="131">
        <f t="shared" si="153"/>
        <v>709</v>
      </c>
      <c r="C244" s="419">
        <v>1.5E-3</v>
      </c>
      <c r="D244" s="131" t="str">
        <f t="shared" si="154"/>
        <v>Seguro ley 3011</v>
      </c>
      <c r="E244" s="418">
        <f t="shared" ref="E244" si="167">E298</f>
        <v>2640.2941542359499</v>
      </c>
      <c r="F244" s="402"/>
      <c r="G244" s="418">
        <f t="shared" si="154"/>
        <v>2589.9383615058341</v>
      </c>
      <c r="H244" s="402"/>
      <c r="I244" s="418">
        <f t="shared" ref="I244:K244" si="168">I298</f>
        <v>2552.7296476658462</v>
      </c>
      <c r="J244" s="402"/>
      <c r="K244" s="418">
        <f t="shared" si="168"/>
        <v>2468.845268638499</v>
      </c>
      <c r="L244" s="402"/>
      <c r="M244" s="418">
        <f t="shared" si="154"/>
        <v>2399.0385731927176</v>
      </c>
      <c r="N244" s="402"/>
      <c r="O244" s="418">
        <f t="shared" ref="O244" si="169">O298</f>
        <v>2320.3511348940929</v>
      </c>
      <c r="P244" s="402"/>
      <c r="Q244" s="418">
        <f t="shared" ref="Q244" si="170">Q298</f>
        <v>2320.3511348940929</v>
      </c>
      <c r="R244" s="402"/>
    </row>
    <row r="245" spans="1:18" ht="15.75" x14ac:dyDescent="0.25">
      <c r="A245" s="132"/>
      <c r="B245" s="131">
        <f t="shared" si="153"/>
        <v>713</v>
      </c>
      <c r="C245" s="420">
        <f>C299</f>
        <v>7.0000000000000001E-3</v>
      </c>
      <c r="D245" s="131" t="str">
        <f t="shared" si="154"/>
        <v>Serv Sepelio IAPS</v>
      </c>
      <c r="E245" s="418">
        <f t="shared" ref="E245" si="171">E299</f>
        <v>12321.372719767767</v>
      </c>
      <c r="F245" s="402"/>
      <c r="G245" s="418">
        <f t="shared" si="154"/>
        <v>12086.379020360559</v>
      </c>
      <c r="H245" s="402"/>
      <c r="I245" s="418">
        <f t="shared" ref="I245:K245" si="172">I299</f>
        <v>11912.73835577395</v>
      </c>
      <c r="J245" s="402"/>
      <c r="K245" s="418">
        <f t="shared" si="172"/>
        <v>11521.277920312994</v>
      </c>
      <c r="L245" s="402"/>
      <c r="M245" s="418">
        <f t="shared" si="154"/>
        <v>11195.513341566015</v>
      </c>
      <c r="N245" s="402"/>
      <c r="O245" s="418">
        <f t="shared" ref="O245" si="173">O299</f>
        <v>10828.305296172433</v>
      </c>
      <c r="P245" s="402"/>
      <c r="Q245" s="418">
        <f t="shared" ref="Q245" si="174">Q299</f>
        <v>10828.305296172433</v>
      </c>
      <c r="R245" s="402"/>
    </row>
    <row r="246" spans="1:18" ht="18.75" thickBot="1" x14ac:dyDescent="0.3">
      <c r="A246" s="132"/>
      <c r="B246" s="421">
        <f t="shared" si="153"/>
        <v>787</v>
      </c>
      <c r="C246" s="587">
        <v>0</v>
      </c>
      <c r="D246" s="131" t="str">
        <f t="shared" si="154"/>
        <v>Desc AGMER 1 %</v>
      </c>
      <c r="E246" s="418">
        <f t="shared" ref="E246" si="175">E300</f>
        <v>0</v>
      </c>
      <c r="F246" s="402"/>
      <c r="G246" s="418">
        <f t="shared" si="154"/>
        <v>0</v>
      </c>
      <c r="H246" s="402"/>
      <c r="I246" s="418">
        <f t="shared" ref="I246:K246" si="176">I300</f>
        <v>0</v>
      </c>
      <c r="J246" s="402"/>
      <c r="K246" s="418">
        <f t="shared" si="176"/>
        <v>0</v>
      </c>
      <c r="L246" s="402"/>
      <c r="M246" s="418">
        <f t="shared" si="154"/>
        <v>0</v>
      </c>
      <c r="N246" s="402"/>
      <c r="O246" s="418">
        <f t="shared" ref="O246" si="177">O300</f>
        <v>0</v>
      </c>
      <c r="P246" s="402"/>
      <c r="Q246" s="418">
        <f t="shared" ref="Q246" si="178">Q300</f>
        <v>0</v>
      </c>
      <c r="R246" s="402"/>
    </row>
    <row r="247" spans="1:18" ht="16.5" thickBot="1" x14ac:dyDescent="0.3">
      <c r="A247" s="132"/>
      <c r="B247" s="422"/>
      <c r="C247" s="423"/>
      <c r="D247" s="198" t="str">
        <f t="shared" si="154"/>
        <v>Otros descuentos</v>
      </c>
      <c r="E247" s="424">
        <v>0</v>
      </c>
      <c r="F247" s="409"/>
      <c r="G247" s="424">
        <v>0</v>
      </c>
      <c r="H247" s="409"/>
      <c r="I247" s="424">
        <v>0</v>
      </c>
      <c r="J247" s="409"/>
      <c r="K247" s="424">
        <v>0</v>
      </c>
      <c r="L247" s="409"/>
      <c r="M247" s="424">
        <v>0</v>
      </c>
      <c r="N247" s="409"/>
      <c r="O247" s="424">
        <v>0</v>
      </c>
      <c r="P247" s="409"/>
      <c r="Q247" s="424">
        <v>0</v>
      </c>
      <c r="R247" s="409"/>
    </row>
    <row r="248" spans="1:18" ht="16.5" thickBot="1" x14ac:dyDescent="0.3">
      <c r="A248" s="132"/>
      <c r="B248" s="132"/>
      <c r="C248" s="425"/>
      <c r="D248" s="426" t="str">
        <f t="shared" si="154"/>
        <v>Descuentos</v>
      </c>
      <c r="E248" s="427">
        <f>E302</f>
        <v>72168.040215782632</v>
      </c>
      <c r="F248" s="428"/>
      <c r="G248" s="427">
        <f>G302</f>
        <v>70791.648547826117</v>
      </c>
      <c r="H248" s="428"/>
      <c r="I248" s="427">
        <f>I302</f>
        <v>69774.610369533126</v>
      </c>
      <c r="J248" s="428"/>
      <c r="K248" s="427">
        <f>K302</f>
        <v>67481.770676118962</v>
      </c>
      <c r="L248" s="428"/>
      <c r="M248" s="427">
        <f>M302</f>
        <v>65573.721000600941</v>
      </c>
      <c r="N248" s="428"/>
      <c r="O248" s="427">
        <f>O302</f>
        <v>63422.931020438533</v>
      </c>
      <c r="P248" s="428"/>
      <c r="Q248" s="427">
        <f>Q302</f>
        <v>63422.931020438533</v>
      </c>
      <c r="R248" s="428"/>
    </row>
    <row r="249" spans="1:18" ht="16.5" thickBot="1" x14ac:dyDescent="0.3">
      <c r="A249" s="132"/>
      <c r="B249" s="20"/>
      <c r="C249" s="232"/>
      <c r="D249" s="429"/>
      <c r="E249" s="229"/>
      <c r="F249" s="230"/>
      <c r="G249" s="229"/>
      <c r="H249" s="230"/>
      <c r="I249" s="229"/>
      <c r="J249" s="230"/>
      <c r="K249" s="229"/>
      <c r="L249" s="230"/>
      <c r="M249" s="229"/>
      <c r="N249" s="230"/>
      <c r="O249" s="229"/>
      <c r="P249" s="230"/>
      <c r="Q249" s="229"/>
      <c r="R249" s="230"/>
    </row>
    <row r="250" spans="1:18" ht="24" thickBot="1" x14ac:dyDescent="0.4">
      <c r="A250" s="132"/>
      <c r="B250" s="231"/>
      <c r="C250" s="232"/>
      <c r="D250" s="430" t="str">
        <f>D304</f>
        <v>Líquido</v>
      </c>
      <c r="E250" s="431">
        <f>E304</f>
        <v>1718028.0626081841</v>
      </c>
      <c r="F250" s="235"/>
      <c r="G250" s="431">
        <f>G304</f>
        <v>1685833.9257893965</v>
      </c>
      <c r="H250" s="235"/>
      <c r="I250" s="431">
        <f>I304</f>
        <v>1662045.1547410311</v>
      </c>
      <c r="J250" s="235"/>
      <c r="K250" s="431">
        <f>K304</f>
        <v>1608415.0750828802</v>
      </c>
      <c r="L250" s="235"/>
      <c r="M250" s="431">
        <f>M304</f>
        <v>1563785.3277945442</v>
      </c>
      <c r="N250" s="235"/>
      <c r="O250" s="431">
        <f>O304</f>
        <v>1513477.8255756234</v>
      </c>
      <c r="P250" s="235"/>
      <c r="Q250" s="431">
        <f>Q304</f>
        <v>1483477.8255756234</v>
      </c>
      <c r="R250" s="235"/>
    </row>
    <row r="251" spans="1:18" ht="18.75" thickBot="1" x14ac:dyDescent="0.3">
      <c r="A251" s="132"/>
      <c r="B251" s="231"/>
      <c r="C251" s="231"/>
      <c r="D251" s="432" t="s">
        <v>444</v>
      </c>
      <c r="E251" s="433">
        <f>E305</f>
        <v>52805.883084718997</v>
      </c>
      <c r="F251" s="432"/>
      <c r="G251" s="433">
        <f>G305</f>
        <v>51798.767230116675</v>
      </c>
      <c r="H251" s="432"/>
      <c r="I251" s="433">
        <f>I305</f>
        <v>51054.592953316926</v>
      </c>
      <c r="J251" s="432"/>
      <c r="K251" s="433">
        <f>K305</f>
        <v>49376.905372769972</v>
      </c>
      <c r="L251" s="432"/>
      <c r="M251" s="433">
        <f>M305</f>
        <v>47980.771463854348</v>
      </c>
      <c r="N251" s="432"/>
      <c r="O251" s="433">
        <f>O305</f>
        <v>46407.022697881854</v>
      </c>
      <c r="P251" s="432"/>
      <c r="Q251" s="433">
        <f>Q305</f>
        <v>46407.022697881854</v>
      </c>
      <c r="R251" s="432"/>
    </row>
    <row r="252" spans="1:18" ht="24" thickBot="1" x14ac:dyDescent="0.4">
      <c r="A252" s="132"/>
      <c r="B252" s="231"/>
      <c r="C252" s="231"/>
      <c r="D252" s="434" t="s">
        <v>445</v>
      </c>
      <c r="E252" s="431">
        <f>E306</f>
        <v>1665222.179523465</v>
      </c>
      <c r="F252" s="432"/>
      <c r="G252" s="431">
        <f>G306</f>
        <v>1634035.1585592797</v>
      </c>
      <c r="H252" s="432"/>
      <c r="I252" s="431">
        <f>I306</f>
        <v>1610990.5617877143</v>
      </c>
      <c r="J252" s="432"/>
      <c r="K252" s="431">
        <f>K306</f>
        <v>1559038.1697101102</v>
      </c>
      <c r="L252" s="432"/>
      <c r="M252" s="431">
        <f>M306</f>
        <v>1515804.5563306899</v>
      </c>
      <c r="N252" s="432"/>
      <c r="O252" s="431">
        <f>O306</f>
        <v>1467070.8028777416</v>
      </c>
      <c r="P252" s="432"/>
      <c r="Q252" s="431">
        <f>Q306</f>
        <v>1437070.8028777416</v>
      </c>
      <c r="R252" s="432"/>
    </row>
    <row r="253" spans="1:18" ht="21" thickBot="1" x14ac:dyDescent="0.35">
      <c r="A253" s="132"/>
      <c r="B253" s="231"/>
      <c r="C253" s="132"/>
      <c r="D253" s="435"/>
      <c r="E253" s="436"/>
      <c r="F253" s="437"/>
      <c r="G253" s="436"/>
      <c r="H253" s="437"/>
      <c r="I253" s="436"/>
      <c r="J253" s="437"/>
      <c r="K253" s="436"/>
      <c r="L253" s="437"/>
      <c r="M253" s="436"/>
      <c r="N253" s="437"/>
      <c r="O253" s="436"/>
      <c r="P253" s="437"/>
      <c r="Q253" s="436"/>
      <c r="R253" s="437"/>
    </row>
    <row r="254" spans="1:18" ht="21.75" thickTop="1" thickBot="1" x14ac:dyDescent="0.35">
      <c r="A254" s="132"/>
      <c r="B254" s="132"/>
      <c r="C254" s="164"/>
      <c r="D254" s="241" t="str">
        <f>D308</f>
        <v>Aumento mensual</v>
      </c>
      <c r="E254" s="242">
        <f>E308</f>
        <v>32194.136818787549</v>
      </c>
      <c r="F254" s="243"/>
      <c r="G254" s="242">
        <f>G308</f>
        <v>23788.771048365394</v>
      </c>
      <c r="H254" s="243"/>
      <c r="I254" s="242">
        <f>I308</f>
        <v>53630.079658150906</v>
      </c>
      <c r="J254" s="243"/>
      <c r="K254" s="242">
        <f>K308</f>
        <v>44629.747288336046</v>
      </c>
      <c r="L254" s="243"/>
      <c r="M254" s="242">
        <f>M308</f>
        <v>50307.502218920738</v>
      </c>
      <c r="N254" s="243"/>
      <c r="O254" s="337">
        <f>O308</f>
        <v>30000</v>
      </c>
      <c r="P254" s="243"/>
      <c r="Q254" s="242"/>
      <c r="R254" s="243"/>
    </row>
    <row r="255" spans="1:18" ht="21" thickBot="1" x14ac:dyDescent="0.35">
      <c r="A255" s="132"/>
      <c r="B255" s="132"/>
      <c r="C255" s="164"/>
      <c r="D255" s="245" t="str">
        <f>D309</f>
        <v>Aum porcentual</v>
      </c>
      <c r="E255" s="246">
        <f>E309</f>
        <v>1.909686139677878E-2</v>
      </c>
      <c r="F255" s="247"/>
      <c r="G255" s="246">
        <f>G309</f>
        <v>1.4312951113576696E-2</v>
      </c>
      <c r="H255" s="247"/>
      <c r="I255" s="246">
        <f>I309</f>
        <v>3.334343260578268E-2</v>
      </c>
      <c r="J255" s="247"/>
      <c r="K255" s="246">
        <f>K309</f>
        <v>2.8539561342015397E-2</v>
      </c>
      <c r="L255" s="247"/>
      <c r="M255" s="246">
        <f>M309</f>
        <v>3.3239669170433472E-2</v>
      </c>
      <c r="N255" s="247"/>
      <c r="O255" s="340">
        <f t="shared" ref="O255:O264" si="179">O309</f>
        <v>2.0222749193004833E-2</v>
      </c>
      <c r="P255" s="247"/>
      <c r="Q255" s="246"/>
      <c r="R255" s="247"/>
    </row>
    <row r="256" spans="1:18" ht="21.75" thickTop="1" thickBot="1" x14ac:dyDescent="0.35">
      <c r="A256" s="132"/>
      <c r="B256" s="132"/>
      <c r="C256" s="132"/>
      <c r="D256" s="149"/>
      <c r="E256" s="248"/>
      <c r="F256" s="249"/>
      <c r="G256" s="248"/>
      <c r="H256" s="249"/>
      <c r="I256" s="248"/>
      <c r="J256" s="249"/>
      <c r="K256" s="248"/>
      <c r="L256" s="249"/>
      <c r="M256" s="248"/>
      <c r="N256" s="249"/>
      <c r="O256" s="290">
        <f t="shared" si="179"/>
        <v>0</v>
      </c>
      <c r="P256" s="249"/>
      <c r="Q256" s="248"/>
      <c r="R256" s="249"/>
    </row>
    <row r="257" spans="1:18" ht="18.75" thickBot="1" x14ac:dyDescent="0.3">
      <c r="A257" s="132"/>
      <c r="B257" s="132"/>
      <c r="C257" s="132"/>
      <c r="D257" s="250" t="s">
        <v>446</v>
      </c>
      <c r="E257" s="341">
        <f>E311</f>
        <v>31187.020964185242</v>
      </c>
      <c r="F257" s="252"/>
      <c r="G257" s="341">
        <f>G311</f>
        <v>23044.596771565499</v>
      </c>
      <c r="H257" s="252"/>
      <c r="I257" s="341">
        <f>I311</f>
        <v>51952.392077604076</v>
      </c>
      <c r="J257" s="252"/>
      <c r="K257" s="341">
        <f>K311</f>
        <v>43233.613379420247</v>
      </c>
      <c r="L257" s="252"/>
      <c r="M257" s="341">
        <f>M311</f>
        <v>48733.753452948295</v>
      </c>
      <c r="N257" s="252"/>
      <c r="O257" s="341">
        <f t="shared" si="179"/>
        <v>30000</v>
      </c>
      <c r="P257" s="252"/>
      <c r="Q257" s="341"/>
      <c r="R257" s="252"/>
    </row>
    <row r="258" spans="1:18" ht="18.75" thickBot="1" x14ac:dyDescent="0.3">
      <c r="A258" s="132"/>
      <c r="B258" s="132"/>
      <c r="C258" s="132"/>
      <c r="D258" s="250" t="s">
        <v>447</v>
      </c>
      <c r="E258" s="342">
        <f>E312</f>
        <v>1.9085893471033191E-2</v>
      </c>
      <c r="F258" s="252"/>
      <c r="G258" s="342">
        <f>G312</f>
        <v>1.4304613148070177E-2</v>
      </c>
      <c r="H258" s="252"/>
      <c r="I258" s="342">
        <f>I312</f>
        <v>3.3323361215244769E-2</v>
      </c>
      <c r="J258" s="252"/>
      <c r="K258" s="342">
        <f>K312</f>
        <v>2.8521891690361397E-2</v>
      </c>
      <c r="L258" s="252"/>
      <c r="M258" s="342">
        <f>M312</f>
        <v>3.3218405926526723E-2</v>
      </c>
      <c r="N258" s="252"/>
      <c r="O258" s="342">
        <f t="shared" si="179"/>
        <v>2.0875798144339753E-2</v>
      </c>
      <c r="P258" s="252"/>
      <c r="Q258" s="342"/>
      <c r="R258" s="252"/>
    </row>
    <row r="259" spans="1:18" ht="21" thickBot="1" x14ac:dyDescent="0.35">
      <c r="A259" s="132"/>
      <c r="B259" s="132"/>
      <c r="C259" s="132"/>
      <c r="D259" s="149"/>
      <c r="E259" s="248"/>
      <c r="F259" s="249"/>
      <c r="G259" s="248"/>
      <c r="H259" s="249"/>
      <c r="I259" s="248"/>
      <c r="J259" s="249"/>
      <c r="K259" s="248"/>
      <c r="L259" s="249"/>
      <c r="M259" s="248"/>
      <c r="N259" s="249"/>
      <c r="O259" s="290">
        <f t="shared" si="179"/>
        <v>0</v>
      </c>
      <c r="P259" s="249"/>
      <c r="Q259" s="248"/>
      <c r="R259" s="249"/>
    </row>
    <row r="260" spans="1:18" ht="21.75" thickTop="1" thickBot="1" x14ac:dyDescent="0.35">
      <c r="A260" s="132"/>
      <c r="B260" s="132"/>
      <c r="C260" s="132"/>
      <c r="D260" s="438" t="s">
        <v>475</v>
      </c>
      <c r="E260" s="439">
        <f>E314</f>
        <v>234550.23703256063</v>
      </c>
      <c r="F260" s="243"/>
      <c r="G260" s="439">
        <f>G314</f>
        <v>202356.10021377308</v>
      </c>
      <c r="H260" s="243"/>
      <c r="I260" s="439">
        <f>I314</f>
        <v>178567.32916540769</v>
      </c>
      <c r="J260" s="243"/>
      <c r="K260" s="439">
        <f>K314</f>
        <v>124937.24950725678</v>
      </c>
      <c r="L260" s="243"/>
      <c r="M260" s="439">
        <f>M314</f>
        <v>80307.502218920738</v>
      </c>
      <c r="N260" s="243"/>
      <c r="O260" s="343">
        <f t="shared" si="179"/>
        <v>30000</v>
      </c>
      <c r="P260" s="243"/>
      <c r="Q260" s="439"/>
      <c r="R260" s="243"/>
    </row>
    <row r="261" spans="1:18" ht="21" thickBot="1" x14ac:dyDescent="0.35">
      <c r="A261" s="132"/>
      <c r="B261" s="132"/>
      <c r="C261" s="132"/>
      <c r="D261" s="438" t="s">
        <v>476</v>
      </c>
      <c r="E261" s="440">
        <f>E315</f>
        <v>0.1581083538889769</v>
      </c>
      <c r="F261" s="247"/>
      <c r="G261" s="440">
        <f>G315</f>
        <v>0.1364065554099228</v>
      </c>
      <c r="H261" s="247"/>
      <c r="I261" s="440">
        <f>I315</f>
        <v>0.12037074372589254</v>
      </c>
      <c r="J261" s="247"/>
      <c r="K261" s="440">
        <f>K315</f>
        <v>8.4219155388304018E-2</v>
      </c>
      <c r="L261" s="247"/>
      <c r="M261" s="440">
        <f>M315</f>
        <v>5.4134615856330434E-2</v>
      </c>
      <c r="N261" s="247"/>
      <c r="O261" s="345">
        <f t="shared" si="179"/>
        <v>2.0222749193004833E-2</v>
      </c>
      <c r="P261" s="247"/>
      <c r="Q261" s="440"/>
      <c r="R261" s="247"/>
    </row>
    <row r="262" spans="1:18" ht="18.75" thickBot="1" x14ac:dyDescent="0.3">
      <c r="A262" s="132"/>
      <c r="B262" s="132"/>
      <c r="C262" s="132"/>
      <c r="D262" s="258">
        <f>D316</f>
        <v>0</v>
      </c>
      <c r="E262" s="441">
        <f>E316</f>
        <v>0</v>
      </c>
      <c r="F262" s="260"/>
      <c r="G262" s="441">
        <f>G316</f>
        <v>0</v>
      </c>
      <c r="H262" s="260"/>
      <c r="I262" s="441">
        <f>I316</f>
        <v>0</v>
      </c>
      <c r="J262" s="260"/>
      <c r="K262" s="441">
        <f>K316</f>
        <v>0</v>
      </c>
      <c r="L262" s="260"/>
      <c r="M262" s="441">
        <f>M316</f>
        <v>0</v>
      </c>
      <c r="N262" s="260"/>
      <c r="O262" s="347">
        <f t="shared" si="179"/>
        <v>0</v>
      </c>
      <c r="P262" s="260"/>
      <c r="Q262" s="441"/>
      <c r="R262" s="260"/>
    </row>
    <row r="263" spans="1:18" ht="19.5" thickTop="1" thickBot="1" x14ac:dyDescent="0.3">
      <c r="A263" s="132"/>
      <c r="B263" s="132"/>
      <c r="C263" s="132"/>
      <c r="D263" s="261" t="s">
        <v>448</v>
      </c>
      <c r="E263" s="442">
        <f>E317</f>
        <v>228151.37664572336</v>
      </c>
      <c r="F263" s="262"/>
      <c r="G263" s="442">
        <f>G317</f>
        <v>196964.35568153812</v>
      </c>
      <c r="H263" s="262"/>
      <c r="I263" s="442">
        <f>I317</f>
        <v>173919.75890997262</v>
      </c>
      <c r="J263" s="262"/>
      <c r="K263" s="442">
        <f>K317</f>
        <v>121967.36683236854</v>
      </c>
      <c r="L263" s="262"/>
      <c r="M263" s="442">
        <f>M317</f>
        <v>78733.753452948295</v>
      </c>
      <c r="N263" s="262"/>
      <c r="O263" s="343">
        <f t="shared" si="179"/>
        <v>30000</v>
      </c>
      <c r="P263" s="262"/>
      <c r="Q263" s="442"/>
      <c r="R263" s="262"/>
    </row>
    <row r="264" spans="1:18" ht="19.5" thickTop="1" thickBot="1" x14ac:dyDescent="0.3">
      <c r="A264" s="132"/>
      <c r="B264" s="132"/>
      <c r="C264" s="132"/>
      <c r="D264" s="261" t="s">
        <v>449</v>
      </c>
      <c r="E264" s="443">
        <f>E318</f>
        <v>0.15876140284031173</v>
      </c>
      <c r="F264" s="262"/>
      <c r="G264" s="443">
        <f>G318</f>
        <v>0.13705960436125764</v>
      </c>
      <c r="H264" s="262"/>
      <c r="I264" s="443">
        <f>I318</f>
        <v>0.12102379267722746</v>
      </c>
      <c r="J264" s="262"/>
      <c r="K264" s="443">
        <f>K318</f>
        <v>8.4872204339638838E-2</v>
      </c>
      <c r="L264" s="262"/>
      <c r="M264" s="443">
        <f>M318</f>
        <v>5.4787664807665393E-2</v>
      </c>
      <c r="N264" s="262"/>
      <c r="O264" s="345">
        <f t="shared" si="179"/>
        <v>2.0875798144339753E-2</v>
      </c>
      <c r="P264" s="262"/>
      <c r="Q264" s="443"/>
      <c r="R264" s="262"/>
    </row>
    <row r="265" spans="1:18" ht="15.75" x14ac:dyDescent="0.25">
      <c r="A265" s="132"/>
      <c r="B265" s="132"/>
      <c r="C265" s="132"/>
      <c r="D265" s="69">
        <f>D319</f>
        <v>0</v>
      </c>
      <c r="E265" s="398"/>
      <c r="F265" s="121"/>
      <c r="G265" s="398"/>
      <c r="H265" s="121"/>
      <c r="I265" s="398"/>
      <c r="J265" s="121"/>
      <c r="K265" s="398"/>
      <c r="L265" s="121"/>
      <c r="M265" s="398"/>
      <c r="N265" s="121"/>
      <c r="O265" s="398"/>
      <c r="P265" s="121"/>
      <c r="Q265" s="398"/>
      <c r="R265" s="121"/>
    </row>
    <row r="266" spans="1:18" ht="20.25" x14ac:dyDescent="0.3">
      <c r="A266" s="132"/>
      <c r="B266" s="132"/>
      <c r="C266" s="132"/>
      <c r="D266" s="444" t="str">
        <f>D320</f>
        <v>MEDIO AGUINALDO</v>
      </c>
      <c r="E266" s="445"/>
      <c r="F266" s="446"/>
      <c r="G266" s="445"/>
      <c r="H266" s="446"/>
      <c r="I266" s="445"/>
      <c r="J266" s="446"/>
      <c r="K266" s="445"/>
      <c r="L266" s="446"/>
      <c r="M266" s="445"/>
      <c r="N266" s="446"/>
      <c r="O266" s="445"/>
      <c r="P266" s="446"/>
      <c r="Q266" s="445"/>
      <c r="R266" s="446"/>
    </row>
    <row r="267" spans="1:18" ht="15.75" x14ac:dyDescent="0.25">
      <c r="A267" s="132"/>
      <c r="B267" s="132"/>
      <c r="C267" s="132"/>
      <c r="D267" s="447"/>
      <c r="E267" s="131"/>
      <c r="F267" s="448"/>
      <c r="G267" s="131"/>
      <c r="H267" s="448"/>
      <c r="I267" s="131"/>
      <c r="J267" s="448"/>
      <c r="K267" s="131"/>
      <c r="L267" s="448"/>
      <c r="M267" s="131"/>
      <c r="N267" s="448"/>
      <c r="O267" s="131"/>
      <c r="P267" s="448"/>
      <c r="Q267" s="131"/>
      <c r="R267" s="448"/>
    </row>
    <row r="268" spans="1:18" ht="15.75" x14ac:dyDescent="0.25">
      <c r="A268" s="132"/>
      <c r="B268" s="132"/>
      <c r="C268" s="132"/>
      <c r="D268" s="449" t="str">
        <f>D322</f>
        <v>Código 550</v>
      </c>
      <c r="E268" s="449">
        <f>E322</f>
        <v>895098.05141198332</v>
      </c>
      <c r="F268" s="450"/>
      <c r="G268" s="449">
        <f>G322</f>
        <v>878312.78716861131</v>
      </c>
      <c r="H268" s="450"/>
      <c r="I268" s="449">
        <f>I322</f>
        <v>865909.88255528209</v>
      </c>
      <c r="J268" s="450"/>
      <c r="K268" s="449">
        <f>K322</f>
        <v>837948.42287949962</v>
      </c>
      <c r="L268" s="450"/>
      <c r="M268" s="449">
        <f>M322</f>
        <v>814679.5243975725</v>
      </c>
      <c r="N268" s="450"/>
      <c r="O268" s="449">
        <f>O322</f>
        <v>788450.37829803093</v>
      </c>
      <c r="P268" s="450"/>
      <c r="Q268" s="449">
        <f>Q322</f>
        <v>773450.37829803093</v>
      </c>
      <c r="R268" s="450"/>
    </row>
    <row r="269" spans="1:18" ht="15.75" x14ac:dyDescent="0.25">
      <c r="A269" s="132"/>
      <c r="B269" s="132"/>
      <c r="C269" s="132"/>
      <c r="D269" s="451"/>
      <c r="E269" s="131"/>
      <c r="F269" s="448"/>
      <c r="G269" s="131"/>
      <c r="H269" s="448"/>
      <c r="I269" s="131"/>
      <c r="J269" s="448"/>
      <c r="K269" s="131"/>
      <c r="L269" s="448"/>
      <c r="M269" s="131"/>
      <c r="N269" s="448"/>
      <c r="O269" s="131"/>
      <c r="P269" s="448"/>
      <c r="Q269" s="131"/>
      <c r="R269" s="448"/>
    </row>
    <row r="270" spans="1:18" ht="15.75" x14ac:dyDescent="0.25">
      <c r="A270" s="132"/>
      <c r="B270" s="132"/>
      <c r="C270" s="132"/>
      <c r="D270" s="449" t="str">
        <f t="shared" ref="D270:M276" si="180">D324</f>
        <v>Descuentos</v>
      </c>
      <c r="E270" s="131"/>
      <c r="F270" s="450"/>
      <c r="G270" s="131"/>
      <c r="H270" s="450"/>
      <c r="I270" s="131"/>
      <c r="J270" s="450"/>
      <c r="K270" s="131"/>
      <c r="L270" s="450"/>
      <c r="M270" s="131"/>
      <c r="N270" s="450"/>
      <c r="O270" s="131"/>
      <c r="P270" s="450"/>
      <c r="Q270" s="131"/>
      <c r="R270" s="450"/>
    </row>
    <row r="271" spans="1:18" ht="15.75" x14ac:dyDescent="0.25">
      <c r="A271" s="132"/>
      <c r="B271" s="197">
        <f>B325</f>
        <v>703</v>
      </c>
      <c r="C271" s="452">
        <f>C325</f>
        <v>2.5000000000000001E-3</v>
      </c>
      <c r="D271" s="214" t="str">
        <f t="shared" si="180"/>
        <v>Federación de  jubil</v>
      </c>
      <c r="E271" s="215">
        <f t="shared" ref="E271" si="181">E325</f>
        <v>2237.7451285299585</v>
      </c>
      <c r="F271" s="216"/>
      <c r="G271" s="215">
        <f t="shared" si="180"/>
        <v>2195.7819679215281</v>
      </c>
      <c r="H271" s="216"/>
      <c r="I271" s="215">
        <f t="shared" ref="I271:K271" si="182">I325</f>
        <v>2164.7747063882052</v>
      </c>
      <c r="J271" s="216"/>
      <c r="K271" s="215">
        <f t="shared" si="182"/>
        <v>2094.871057198749</v>
      </c>
      <c r="L271" s="216"/>
      <c r="M271" s="215">
        <f t="shared" si="180"/>
        <v>2036.6988109939314</v>
      </c>
      <c r="N271" s="216"/>
      <c r="O271" s="215">
        <f t="shared" ref="O271" si="183">O325</f>
        <v>1971.1259457450774</v>
      </c>
      <c r="P271" s="216"/>
      <c r="Q271" s="215">
        <f t="shared" ref="Q271" si="184">Q325</f>
        <v>1933.6259457450774</v>
      </c>
      <c r="R271" s="216"/>
    </row>
    <row r="272" spans="1:18" ht="15.75" x14ac:dyDescent="0.25">
      <c r="A272" s="132"/>
      <c r="B272" s="197">
        <f>B326</f>
        <v>707</v>
      </c>
      <c r="C272" s="453">
        <f>C326</f>
        <v>0.03</v>
      </c>
      <c r="D272" s="131" t="str">
        <f t="shared" si="180"/>
        <v>Aporte IOSPER</v>
      </c>
      <c r="E272" s="215">
        <f t="shared" ref="E272" si="185">E326</f>
        <v>26852.941542359498</v>
      </c>
      <c r="F272" s="210"/>
      <c r="G272" s="215">
        <f t="shared" si="180"/>
        <v>26349.383615058337</v>
      </c>
      <c r="H272" s="210"/>
      <c r="I272" s="215">
        <f t="shared" ref="I272:K272" si="186">I326</f>
        <v>25977.296476658463</v>
      </c>
      <c r="J272" s="210"/>
      <c r="K272" s="215">
        <f t="shared" si="186"/>
        <v>25138.452686384986</v>
      </c>
      <c r="L272" s="210"/>
      <c r="M272" s="215">
        <f t="shared" si="180"/>
        <v>24440.385731927174</v>
      </c>
      <c r="N272" s="210"/>
      <c r="O272" s="215">
        <f t="shared" ref="O272" si="187">O326</f>
        <v>23653.511348940927</v>
      </c>
      <c r="P272" s="210"/>
      <c r="Q272" s="215">
        <f t="shared" ref="Q272" si="188">Q326</f>
        <v>23203.511348940927</v>
      </c>
      <c r="R272" s="210"/>
    </row>
    <row r="273" spans="1:18" ht="15.75" x14ac:dyDescent="0.25">
      <c r="A273" s="132"/>
      <c r="B273" s="197">
        <f>B327</f>
        <v>709</v>
      </c>
      <c r="C273" s="454">
        <v>1.5E-3</v>
      </c>
      <c r="D273" s="131" t="str">
        <f t="shared" si="180"/>
        <v>Seguro ley 3011</v>
      </c>
      <c r="E273" s="215">
        <f t="shared" ref="E273" si="189">E327</f>
        <v>1342.647077117975</v>
      </c>
      <c r="F273" s="210"/>
      <c r="G273" s="215">
        <f t="shared" si="180"/>
        <v>1317.4691807529171</v>
      </c>
      <c r="H273" s="210"/>
      <c r="I273" s="215">
        <f t="shared" ref="I273:K273" si="190">I327</f>
        <v>1298.8648238329231</v>
      </c>
      <c r="J273" s="210"/>
      <c r="K273" s="215">
        <f t="shared" si="190"/>
        <v>1256.9226343192495</v>
      </c>
      <c r="L273" s="210"/>
      <c r="M273" s="215">
        <f t="shared" si="180"/>
        <v>1222.0192865963588</v>
      </c>
      <c r="N273" s="210"/>
      <c r="O273" s="215">
        <f t="shared" ref="O273" si="191">O327</f>
        <v>1182.6755674470464</v>
      </c>
      <c r="P273" s="210"/>
      <c r="Q273" s="215">
        <f t="shared" ref="Q273" si="192">Q327</f>
        <v>1160.1755674470464</v>
      </c>
      <c r="R273" s="210"/>
    </row>
    <row r="274" spans="1:18" ht="15.75" x14ac:dyDescent="0.25">
      <c r="A274" s="132"/>
      <c r="B274" s="197">
        <f>B328</f>
        <v>713</v>
      </c>
      <c r="C274" s="455">
        <f>C328</f>
        <v>7.0000000000000001E-3</v>
      </c>
      <c r="D274" s="131" t="str">
        <f t="shared" si="180"/>
        <v>Serv Sepelio IAPS</v>
      </c>
      <c r="E274" s="215">
        <f t="shared" ref="E274" si="193">E328</f>
        <v>6265.6863598838836</v>
      </c>
      <c r="F274" s="210"/>
      <c r="G274" s="215">
        <f t="shared" si="180"/>
        <v>6148.1895101802793</v>
      </c>
      <c r="H274" s="210"/>
      <c r="I274" s="215">
        <f t="shared" ref="I274:K274" si="194">I328</f>
        <v>6061.3691778869752</v>
      </c>
      <c r="J274" s="210"/>
      <c r="K274" s="215">
        <f t="shared" si="194"/>
        <v>5865.6389601564979</v>
      </c>
      <c r="L274" s="210"/>
      <c r="M274" s="215">
        <f t="shared" si="180"/>
        <v>5702.7566707830074</v>
      </c>
      <c r="N274" s="210"/>
      <c r="O274" s="215">
        <f t="shared" ref="O274" si="195">O328</f>
        <v>5519.1526480862167</v>
      </c>
      <c r="P274" s="210"/>
      <c r="Q274" s="215">
        <f t="shared" ref="Q274" si="196">Q328</f>
        <v>5414.1526480862167</v>
      </c>
      <c r="R274" s="210"/>
    </row>
    <row r="275" spans="1:18" ht="18" x14ac:dyDescent="0.25">
      <c r="A275" s="132"/>
      <c r="B275" s="197">
        <f>B329</f>
        <v>787</v>
      </c>
      <c r="C275" s="595">
        <f>C246</f>
        <v>0</v>
      </c>
      <c r="D275" s="131" t="str">
        <f t="shared" si="180"/>
        <v>Desc AGMER 1 %</v>
      </c>
      <c r="E275" s="215">
        <f t="shared" ref="E275" si="197">E329</f>
        <v>8950.980514119834</v>
      </c>
      <c r="F275" s="210"/>
      <c r="G275" s="215">
        <f t="shared" si="180"/>
        <v>8783.1278716861125</v>
      </c>
      <c r="H275" s="210"/>
      <c r="I275" s="215">
        <f t="shared" ref="I275:K275" si="198">I329</f>
        <v>8659.0988255528209</v>
      </c>
      <c r="J275" s="210"/>
      <c r="K275" s="215">
        <f t="shared" si="198"/>
        <v>8379.4842287949959</v>
      </c>
      <c r="L275" s="210"/>
      <c r="M275" s="215">
        <f t="shared" si="180"/>
        <v>8146.7952439757255</v>
      </c>
      <c r="N275" s="210"/>
      <c r="O275" s="215">
        <f t="shared" ref="O275" si="199">O329</f>
        <v>7884.5037829803096</v>
      </c>
      <c r="P275" s="210"/>
      <c r="Q275" s="215">
        <f t="shared" ref="Q275" si="200">Q329</f>
        <v>7734.5037829803096</v>
      </c>
      <c r="R275" s="210"/>
    </row>
    <row r="276" spans="1:18" ht="15.75" x14ac:dyDescent="0.25">
      <c r="A276" s="132"/>
      <c r="B276" s="132"/>
      <c r="D276" s="125" t="str">
        <f t="shared" si="180"/>
        <v>Total Descuentos</v>
      </c>
      <c r="E276" s="212">
        <f t="shared" ref="E276" si="201">E330</f>
        <v>45650.000622011154</v>
      </c>
      <c r="F276" s="456"/>
      <c r="G276" s="212">
        <f t="shared" si="180"/>
        <v>44793.952145599171</v>
      </c>
      <c r="H276" s="456"/>
      <c r="I276" s="212">
        <f t="shared" ref="I276:K276" si="202">I330</f>
        <v>44161.404010319384</v>
      </c>
      <c r="J276" s="456"/>
      <c r="K276" s="212">
        <f t="shared" si="202"/>
        <v>42735.369566854475</v>
      </c>
      <c r="L276" s="456"/>
      <c r="M276" s="212">
        <f t="shared" si="180"/>
        <v>41548.655744276199</v>
      </c>
      <c r="N276" s="456"/>
      <c r="O276" s="212">
        <f t="shared" ref="O276" si="203">O330</f>
        <v>40210.969293199574</v>
      </c>
      <c r="P276" s="456"/>
      <c r="Q276" s="212">
        <f t="shared" ref="Q276" si="204">Q330</f>
        <v>39445.969293199574</v>
      </c>
      <c r="R276" s="456"/>
    </row>
    <row r="277" spans="1:18" ht="15.75" x14ac:dyDescent="0.25">
      <c r="A277" s="132"/>
      <c r="B277" s="132"/>
      <c r="C277" s="132"/>
      <c r="D277" s="131"/>
      <c r="E277" s="457"/>
      <c r="F277" s="210"/>
      <c r="G277" s="457"/>
      <c r="H277" s="210"/>
      <c r="I277" s="457"/>
      <c r="J277" s="210"/>
      <c r="K277" s="457"/>
      <c r="L277" s="210"/>
      <c r="M277" s="457"/>
      <c r="N277" s="210"/>
      <c r="O277" s="457"/>
      <c r="P277" s="210"/>
      <c r="Q277" s="457"/>
      <c r="R277" s="210"/>
    </row>
    <row r="278" spans="1:18" ht="20.25" x14ac:dyDescent="0.3">
      <c r="A278" s="132"/>
      <c r="B278" s="132"/>
      <c r="C278" s="132"/>
      <c r="D278" s="458" t="str">
        <f>D332</f>
        <v>Líquido</v>
      </c>
      <c r="E278" s="459">
        <f>E332</f>
        <v>849448.05078997219</v>
      </c>
      <c r="F278" s="460"/>
      <c r="G278" s="459">
        <f>G332</f>
        <v>833518.83502301213</v>
      </c>
      <c r="H278" s="460"/>
      <c r="I278" s="459">
        <f>I332</f>
        <v>821748.47854496271</v>
      </c>
      <c r="J278" s="460"/>
      <c r="K278" s="459">
        <f>K332</f>
        <v>795213.05331264518</v>
      </c>
      <c r="L278" s="460"/>
      <c r="M278" s="459">
        <f>M332</f>
        <v>773130.86865329626</v>
      </c>
      <c r="N278" s="460"/>
      <c r="O278" s="459">
        <f>O332</f>
        <v>748239.40900483134</v>
      </c>
      <c r="P278" s="460"/>
      <c r="Q278" s="459">
        <f>Q332</f>
        <v>734004.40900483134</v>
      </c>
      <c r="R278" s="460"/>
    </row>
    <row r="279" spans="1:18" ht="15.75" x14ac:dyDescent="0.25">
      <c r="A279" s="132"/>
      <c r="B279" s="389"/>
      <c r="C279" s="157"/>
      <c r="D279" s="390"/>
      <c r="E279" s="376"/>
      <c r="F279" s="388"/>
      <c r="G279" s="376"/>
      <c r="H279" s="388"/>
      <c r="I279" s="376"/>
      <c r="J279" s="388"/>
      <c r="K279" s="376"/>
      <c r="L279" s="388"/>
      <c r="M279" s="376"/>
      <c r="N279" s="388"/>
      <c r="O279" s="376"/>
      <c r="P279" s="388"/>
      <c r="Q279" s="376"/>
      <c r="R279" s="388"/>
    </row>
    <row r="280" spans="1:18" ht="24" hidden="1" thickBot="1" x14ac:dyDescent="0.3">
      <c r="A280" s="132"/>
      <c r="B280" s="290"/>
      <c r="C280" s="290"/>
      <c r="D280" s="291" t="s">
        <v>472</v>
      </c>
      <c r="E280" s="461">
        <f>E304</f>
        <v>1718028.0626081841</v>
      </c>
      <c r="F280" s="462"/>
      <c r="G280" s="461">
        <f>G304</f>
        <v>1685833.9257893965</v>
      </c>
      <c r="H280" s="462"/>
      <c r="I280" s="461">
        <f>I304</f>
        <v>1662045.1547410311</v>
      </c>
      <c r="J280" s="462"/>
      <c r="K280" s="461">
        <f>K304</f>
        <v>1608415.0750828802</v>
      </c>
      <c r="L280" s="462"/>
      <c r="M280" s="461">
        <f>M304</f>
        <v>1563785.3277945442</v>
      </c>
      <c r="N280" s="462"/>
      <c r="O280" s="461">
        <f>O304</f>
        <v>1513477.8255756234</v>
      </c>
      <c r="P280" s="462"/>
      <c r="Q280" s="461">
        <f>Q304</f>
        <v>1483477.8255756234</v>
      </c>
      <c r="R280" s="462"/>
    </row>
    <row r="281" spans="1:18" ht="24" hidden="1" thickBot="1" x14ac:dyDescent="0.3">
      <c r="A281" s="132"/>
      <c r="B281" s="290"/>
      <c r="C281" s="290"/>
      <c r="D281" s="291" t="s">
        <v>485</v>
      </c>
      <c r="E281" s="461">
        <f>E306</f>
        <v>1665222.179523465</v>
      </c>
      <c r="F281" s="462"/>
      <c r="G281" s="461">
        <f>G306</f>
        <v>1634035.1585592797</v>
      </c>
      <c r="H281" s="462"/>
      <c r="I281" s="461">
        <f>I306</f>
        <v>1610990.5617877143</v>
      </c>
      <c r="J281" s="462"/>
      <c r="K281" s="461">
        <f>K306</f>
        <v>1559038.1697101102</v>
      </c>
      <c r="L281" s="462"/>
      <c r="M281" s="461">
        <f>M306</f>
        <v>1515804.5563306899</v>
      </c>
      <c r="N281" s="462"/>
      <c r="O281" s="461">
        <f>O306</f>
        <v>1467070.8028777416</v>
      </c>
      <c r="P281" s="462"/>
      <c r="Q281" s="461">
        <f>Q306</f>
        <v>1437070.8028777416</v>
      </c>
      <c r="R281" s="462"/>
    </row>
    <row r="282" spans="1:18" ht="16.5" hidden="1" thickBot="1" x14ac:dyDescent="0.3">
      <c r="A282" s="132"/>
      <c r="B282" s="323" t="s">
        <v>438</v>
      </c>
      <c r="C282" s="290"/>
      <c r="D282" s="463">
        <f>D214*64.73</f>
        <v>2330.2800000000002</v>
      </c>
      <c r="E282" s="323"/>
      <c r="F282" s="464"/>
      <c r="G282" s="323"/>
      <c r="H282" s="464"/>
      <c r="I282" s="323"/>
      <c r="J282" s="464"/>
      <c r="K282" s="323"/>
      <c r="L282" s="464"/>
      <c r="M282" s="323"/>
      <c r="N282" s="464"/>
      <c r="O282" s="323"/>
      <c r="P282" s="464"/>
      <c r="Q282" s="323"/>
      <c r="R282" s="464"/>
    </row>
    <row r="283" spans="1:18" ht="24" hidden="1" thickBot="1" x14ac:dyDescent="0.4">
      <c r="B283" s="349">
        <f>66853/15</f>
        <v>4456.8666666666668</v>
      </c>
      <c r="C283" s="465"/>
      <c r="D283" s="466"/>
      <c r="E283" s="21">
        <v>46357</v>
      </c>
      <c r="F283" s="22" cm="1">
        <f t="array" ref="F283">aumentodiciembre26</f>
        <v>0.14231041977499981</v>
      </c>
      <c r="G283" s="21">
        <v>46327</v>
      </c>
      <c r="H283" s="22" cm="1">
        <f t="array" ref="H283">aumentonoviembre26</f>
        <v>0.11991217624999972</v>
      </c>
      <c r="I283" s="21">
        <v>46266</v>
      </c>
      <c r="J283" s="22">
        <f>aumentoseptiembre26</f>
        <v>0.10336174999999992</v>
      </c>
      <c r="K283" s="21">
        <v>46204</v>
      </c>
      <c r="L283" s="22">
        <f>aumentojulio26</f>
        <v>6.6049999999999942E-2</v>
      </c>
      <c r="M283" s="21">
        <v>46143</v>
      </c>
      <c r="N283" s="22">
        <v>3.5000000000000003E-2</v>
      </c>
      <c r="O283" s="21">
        <v>46054</v>
      </c>
      <c r="P283" s="22">
        <v>0</v>
      </c>
      <c r="Q283" s="21">
        <v>45992</v>
      </c>
      <c r="R283" s="22"/>
    </row>
    <row r="284" spans="1:18" ht="15.75" hidden="1" thickBot="1" x14ac:dyDescent="0.3">
      <c r="B284" s="349"/>
      <c r="C284" s="349"/>
      <c r="D284" s="465"/>
      <c r="E284" s="349"/>
      <c r="F284" s="467"/>
      <c r="G284" s="349"/>
      <c r="H284" s="467"/>
      <c r="I284" s="349"/>
      <c r="J284" s="467"/>
      <c r="K284" s="349"/>
      <c r="L284" s="467"/>
      <c r="M284" s="349"/>
      <c r="N284" s="467"/>
      <c r="O284" s="349"/>
      <c r="P284" s="467"/>
      <c r="Q284" s="349"/>
      <c r="R284" s="467"/>
    </row>
    <row r="285" spans="1:18" ht="16.5" hidden="1" thickBot="1" x14ac:dyDescent="0.3">
      <c r="B285" s="290">
        <v>400</v>
      </c>
      <c r="C285" s="290"/>
      <c r="D285" s="290" t="s">
        <v>451</v>
      </c>
      <c r="E285" s="297" cm="1">
        <f t="array" ref="E285">puntotalhorasmed*indicedic26*porjubhormed</f>
        <v>576309.52618376387</v>
      </c>
      <c r="F285" s="252"/>
      <c r="G285" s="297">
        <f>puntotalhorasmed*indicenov26*porjubhormed</f>
        <v>565009.33939584694</v>
      </c>
      <c r="H285" s="252"/>
      <c r="I285" s="297">
        <f>puntotalhorasmed*indicesep26*porjubhormed</f>
        <v>556659.44768063736</v>
      </c>
      <c r="J285" s="252"/>
      <c r="K285" s="297">
        <f>puntotalhorasmed*indicejul26*porjubhormed</f>
        <v>537835.21515037445</v>
      </c>
      <c r="L285" s="252"/>
      <c r="M285" s="297">
        <f>puntotalhorasmed*indicemay26*porjubhormed</f>
        <v>522170.11179648002</v>
      </c>
      <c r="N285" s="252"/>
      <c r="O285" s="297">
        <f>puntotalhorasmed*indicedic25*porjubhormed</f>
        <v>504512.08814118482</v>
      </c>
      <c r="P285" s="252"/>
      <c r="Q285" s="297">
        <f>puntotalhorasmed*indicedic25*porjubhormed</f>
        <v>504512.08814118482</v>
      </c>
      <c r="R285" s="252"/>
    </row>
    <row r="286" spans="1:18" ht="28.5" hidden="1" thickBot="1" x14ac:dyDescent="0.45">
      <c r="B286" s="290">
        <v>406</v>
      </c>
      <c r="C286" s="290"/>
      <c r="D286" s="290" t="s">
        <v>457</v>
      </c>
      <c r="E286" s="297">
        <f>(E285+E293)*porcantighorasmed</f>
        <v>716171.43142051657</v>
      </c>
      <c r="F286" s="598"/>
      <c r="G286" s="297">
        <f>(G285+G293)*porcantighorasmed</f>
        <v>702611.20727501635</v>
      </c>
      <c r="H286" s="598"/>
      <c r="I286" s="297">
        <f>(I285+I293)*porcantighorasmed</f>
        <v>692591.3372167648</v>
      </c>
      <c r="J286" s="598"/>
      <c r="K286" s="297">
        <f>(K285+K293)*porcantighorasmed</f>
        <v>670002.25818044937</v>
      </c>
      <c r="L286" s="598"/>
      <c r="M286" s="297">
        <f>(M285+M293)*porcantighorasmed</f>
        <v>651204.134155776</v>
      </c>
      <c r="N286" s="598"/>
      <c r="O286" s="297">
        <f>(O285+O293)*porcantighorasmed</f>
        <v>630014.5057694217</v>
      </c>
      <c r="P286" s="252"/>
      <c r="Q286" s="297">
        <f>(Q285+Q293)*porcantighorasmed</f>
        <v>630014.5057694217</v>
      </c>
      <c r="R286" s="252"/>
    </row>
    <row r="287" spans="1:18" ht="16.5" hidden="1" thickBot="1" x14ac:dyDescent="0.3">
      <c r="B287" s="290">
        <v>432</v>
      </c>
      <c r="C287" s="290"/>
      <c r="D287" s="290" t="s">
        <v>486</v>
      </c>
      <c r="E287" s="297">
        <f>IF(numhorasmed&gt;36,36*4241.88,4241.88*numhorasmed)*porjubhormed*(1+aumentodiciembre26)</f>
        <v>143040.45071580639</v>
      </c>
      <c r="F287" s="252"/>
      <c r="G287" s="297">
        <f>IF(numhorasmed&gt;36,36*4241.88,4241.88*numhorasmed)*porjubhormed*(1+aumentonoviembre26)</f>
        <v>140235.73599588859</v>
      </c>
      <c r="H287" s="252"/>
      <c r="I287" s="297">
        <f>IF(numhorasmed&gt;36,36*4241.88,4241.88*numhorasmed)*porjubhormed*(1+aumentoseptiembre26)</f>
        <v>138163.28669545677</v>
      </c>
      <c r="J287" s="252"/>
      <c r="K287" s="297">
        <f>IF(numhorasmed&gt;36,36*4241.88,4241.88*numhorasmed)*porjubhormed*(1+aumentojulio26)</f>
        <v>133491.09825647998</v>
      </c>
      <c r="L287" s="252"/>
      <c r="M287" s="297">
        <f>IF(numhorasmed&gt;36,36*4241.88,4241.88*numhorasmed)*porjubhormed*(1+aumentomayo26)</f>
        <v>129603.00801599998</v>
      </c>
      <c r="N287" s="252"/>
      <c r="O287" s="297">
        <f>IF(numhorasmed&gt;36,36*4241.88,4241.88*numhorasmed)*porjubhormed</f>
        <v>125220.29759999999</v>
      </c>
      <c r="P287" s="252"/>
      <c r="Q287" s="297">
        <f>IF(numhorasmed&gt;36,36*4241.88,4241.88*numhorasmed)*porjubhormed</f>
        <v>125220.29759999999</v>
      </c>
      <c r="R287" s="252"/>
    </row>
    <row r="288" spans="1:18" ht="16.5" hidden="1" thickBot="1" x14ac:dyDescent="0.3">
      <c r="B288" s="290">
        <v>434</v>
      </c>
      <c r="C288" s="290"/>
      <c r="D288" s="290" t="s">
        <v>461</v>
      </c>
      <c r="E288" s="297">
        <f>(E285+E286+E287+E289+E290+E292+E293)*0.07*0.95</f>
        <v>109754.37490651081</v>
      </c>
      <c r="F288" s="252"/>
      <c r="G288" s="297">
        <f>(G285+G286+G287+G289+G290+G292+G293)*0.07*0.95</f>
        <v>107661.13520246161</v>
      </c>
      <c r="H288" s="252"/>
      <c r="I288" s="297">
        <f>(I285+I286+I287+I289+I290+I292+I293)*0.07*0.95</f>
        <v>106114.40635710504</v>
      </c>
      <c r="J288" s="252"/>
      <c r="K288" s="297">
        <f>(K285+K286+K287+K289+K290+K292+K293)*0.07*0.95</f>
        <v>102627.41701169568</v>
      </c>
      <c r="L288" s="252"/>
      <c r="M288" s="297">
        <f>(M285+M286+M287+M289+M290+M292+M293)*0.07*0.95</f>
        <v>99725.622826889026</v>
      </c>
      <c r="N288" s="252"/>
      <c r="O288" s="297">
        <f>(O285+O286+O287+O289+O290+O292+O293)*0.07*0.95</f>
        <v>96454.66508545533</v>
      </c>
      <c r="P288" s="252"/>
      <c r="Q288" s="297">
        <f>(Q285+Q286+Q287+Q289+Q290+Q292+Q293)*0.07*0.95</f>
        <v>96454.66508545533</v>
      </c>
      <c r="R288" s="252"/>
    </row>
    <row r="289" spans="2:18" ht="16.5" hidden="1" thickBot="1" x14ac:dyDescent="0.3">
      <c r="B289" s="298">
        <v>1458</v>
      </c>
      <c r="C289" s="290"/>
      <c r="D289" s="468" t="s">
        <v>487</v>
      </c>
      <c r="E289" s="297">
        <f>IF(numhorasmed&gt;18,61229,3401.61111*numhorasmed)*porjubhormed*adichsmedia*(1+aumentodiciembre26)</f>
        <v>57352.870247770836</v>
      </c>
      <c r="F289" s="469"/>
      <c r="G289" s="297">
        <f>IF(numhorasmed&gt;18,61229,3401.61111*numhorasmed)*porjubhormed*adichsmedia*(1+aumentonoviembre26)</f>
        <v>56228.304164481211</v>
      </c>
      <c r="H289" s="469"/>
      <c r="I289" s="297">
        <f>IF(numhorasmed&gt;18,61229,3401.61111*numhorasmed)*porjubhormed*adichsmedia*(1+aumentoseptiembre26)</f>
        <v>55397.344004414997</v>
      </c>
      <c r="J289" s="469"/>
      <c r="K289" s="297">
        <f>IF(numhorasmed&gt;18,61229,3401.61111*numhorasmed)*porjubhormed*adichsmedia*(1+aumentojulio26)</f>
        <v>53524.003868999993</v>
      </c>
      <c r="L289" s="469"/>
      <c r="M289" s="297">
        <f>IF(numhorasmed&gt;18,61229,3401.61111*numhorasmed)*porjubhormed*adichsmedia*(1+aumentomayo26)</f>
        <v>51965.052299999996</v>
      </c>
      <c r="N289" s="469"/>
      <c r="O289" s="297">
        <f>IF(numhorasmed&gt;18,61229,3401.61111*numhorasmed)*porjubhormed*adichsmedia</f>
        <v>50207.78</v>
      </c>
      <c r="P289" s="469"/>
      <c r="Q289" s="297">
        <f>IF(numhorasmed&gt;18,61229,3401.61111*numhorasmed)*porjubhormed*adichsmedia</f>
        <v>50207.78</v>
      </c>
      <c r="R289" s="469"/>
    </row>
    <row r="290" spans="2:18" ht="16.5" hidden="1" thickBot="1" x14ac:dyDescent="0.3">
      <c r="B290" s="298">
        <v>437</v>
      </c>
      <c r="C290" s="290"/>
      <c r="D290" s="305" t="s">
        <v>462</v>
      </c>
      <c r="E290" s="297">
        <f>IF(numhorasmed&gt;30,43246,1441.53333*numhorasmed)*porjubhormed*(1+aumentodiciembre26)</f>
        <v>40508.292259143505</v>
      </c>
      <c r="F290" s="208"/>
      <c r="G290" s="297">
        <f>IF(numhorasmed&gt;30,43246,1441.53333*numhorasmed)*porjubhormed*(1+aumentonoviembre26)</f>
        <v>39714.012018768139</v>
      </c>
      <c r="H290" s="208"/>
      <c r="I290" s="297">
        <f>IF(numhorasmed&gt;30,43246,1441.53333*numhorasmed)*porjubhormed*(1+aumentoseptiembre26)</f>
        <v>39127.105437209997</v>
      </c>
      <c r="J290" s="208"/>
      <c r="K290" s="297">
        <f>IF(numhorasmed&gt;30,43246,1441.53333*numhorasmed)*porjubhormed*(1+aumentojulio26)</f>
        <v>37803.966606000002</v>
      </c>
      <c r="L290" s="208"/>
      <c r="M290" s="297">
        <f>IF(numhorasmed&gt;30,43246,1441.53333*numhorasmed)*porjubhormed*(1+aumentomayo26)</f>
        <v>36702.8802</v>
      </c>
      <c r="N290" s="208"/>
      <c r="O290" s="297">
        <f>IF(numhorasmed&gt;30,43246,1441.53333*numhorasmed)*porjubhormed</f>
        <v>35461.72</v>
      </c>
      <c r="P290" s="208"/>
      <c r="Q290" s="297">
        <f>IF(numhorasmed&gt;30,43246,1441.53333*numhorasmed)*porjubhormed</f>
        <v>35461.72</v>
      </c>
      <c r="R290" s="208"/>
    </row>
    <row r="291" spans="2:18" ht="16.5" hidden="1" thickBot="1" x14ac:dyDescent="0.3">
      <c r="B291" s="290"/>
      <c r="C291" s="290"/>
      <c r="D291" s="290" t="s">
        <v>463</v>
      </c>
      <c r="E291" s="311">
        <f>E237</f>
        <v>0</v>
      </c>
      <c r="F291" s="252"/>
      <c r="G291" s="311">
        <f>G237</f>
        <v>0</v>
      </c>
      <c r="H291" s="252"/>
      <c r="I291" s="311">
        <f>I237</f>
        <v>0</v>
      </c>
      <c r="J291" s="252"/>
      <c r="K291" s="311">
        <f>K237</f>
        <v>0</v>
      </c>
      <c r="L291" s="252"/>
      <c r="M291" s="311">
        <f>M237</f>
        <v>0</v>
      </c>
      <c r="N291" s="252"/>
      <c r="O291" s="311">
        <f>O237</f>
        <v>0</v>
      </c>
      <c r="P291" s="252"/>
      <c r="Q291" s="311">
        <f>Q237</f>
        <v>0</v>
      </c>
      <c r="R291" s="252"/>
    </row>
    <row r="292" spans="2:18" ht="16.5" hidden="1" thickBot="1" x14ac:dyDescent="0.3">
      <c r="B292" s="470">
        <v>1584</v>
      </c>
      <c r="C292" s="471">
        <f>C238</f>
        <v>15</v>
      </c>
      <c r="D292" s="305" t="s">
        <v>488</v>
      </c>
      <c r="E292" s="297">
        <f>IF($C292="",IF(numhorasmed&lt;15,6872.3333*numhorasmed,103085),IF($C292&lt;15,6872.3333*$C292,103085))*porjubhormed*(1+aumentodiciembre26)</f>
        <v>96559.157090454799</v>
      </c>
      <c r="F292" s="208"/>
      <c r="G292" s="297">
        <f>IF($C292="",IF(numhorasmed&lt;15,6872.3333*numhorasmed,103085),IF($C292&lt;15,6872.3333*$C292,103085))*porjubhormed*(1+aumentonoviembre26)</f>
        <v>94665.840284759601</v>
      </c>
      <c r="H292" s="208"/>
      <c r="I292" s="297">
        <f>IF($C292="",IF(numhorasmed&lt;15,6872.3333*numhorasmed,103085),IF($C292&lt;15,6872.3333*$C292,103085))*porjubhormed*(1+aumentoseptiembre26)</f>
        <v>93266.837718974988</v>
      </c>
      <c r="J292" s="208"/>
      <c r="K292" s="297">
        <f>IF($C292="",IF(numhorasmed&lt;15,6872.3333*numhorasmed,103085),IF($C292&lt;15,6872.3333*$C292,103085))*porjubhormed*(1+aumentojulio26)</f>
        <v>90112.88668499999</v>
      </c>
      <c r="L292" s="208"/>
      <c r="M292" s="297">
        <f>IF($C292="",IF(numhorasmed&lt;15,6872.3333*numhorasmed,103085),IF($C292&lt;15,6872.3333*$C292,103085))*porjubhormed*(1+aumentomayo26)</f>
        <v>87488.239499999996</v>
      </c>
      <c r="N292" s="208"/>
      <c r="O292" s="297">
        <f>IF($C292="",IF(numhorasmed&lt;15,6872.3333*numhorasmed,103085),IF($C292&lt;15,6872.3333*$C292,103085))*porjubhormed</f>
        <v>84529.7</v>
      </c>
      <c r="P292" s="208"/>
      <c r="Q292" s="297">
        <f>IF($C292="",IF(numhorasmed&lt;15,6872.3333*numhorasmed,103085),IF($C292&lt;15,6872.3333*$C292,103085))*porjubhormed</f>
        <v>84529.7</v>
      </c>
      <c r="R292" s="208"/>
    </row>
    <row r="293" spans="2:18" ht="18.75" hidden="1" thickBot="1" x14ac:dyDescent="0.3">
      <c r="B293" s="204">
        <v>1622</v>
      </c>
      <c r="C293" s="307">
        <f>C239</f>
        <v>1</v>
      </c>
      <c r="D293" s="308" t="s">
        <v>443</v>
      </c>
      <c r="E293" s="309">
        <f>IF(AND(porcantighorasmed&gt;=50%,$C293=1),IF(numhorasmed&gt;15,25000,1666.6666*numhorasmed),0)*porjubcar*frac</f>
        <v>20500</v>
      </c>
      <c r="F293" s="310"/>
      <c r="G293" s="309">
        <f>IF(AND(porcantighorasmed&gt;=50%,$C293=1),IF(numhorasmed&gt;15,25000,1666.6666*numhorasmed),0)*porjubcar*frac</f>
        <v>20500</v>
      </c>
      <c r="H293" s="310"/>
      <c r="I293" s="309">
        <f>IF(AND(porcantighorasmed&gt;=50%,$C293=1),IF(numhorasmed&gt;15,25000,1666.6666*numhorasmed),0)*porjubcar*frac</f>
        <v>20500</v>
      </c>
      <c r="J293" s="310"/>
      <c r="K293" s="309">
        <f>IF(AND(porcantighorasmed&gt;=50%,$C293=1),IF(numhorasmed&gt;15,25000,1666.6666*numhorasmed),0)*porjubcar*frac</f>
        <v>20500</v>
      </c>
      <c r="L293" s="310"/>
      <c r="M293" s="309">
        <f>IF(AND(porcantighorasmed&gt;=50%,$C293=1),IF(numhorasmed&gt;15,25000,1666.6666*numhorasmed),0)*porjubcar*frac</f>
        <v>20500</v>
      </c>
      <c r="N293" s="310"/>
      <c r="O293" s="309">
        <f>IF(AND(porcantighorasmed&gt;=50%,$C293=1),IF(numhorasmed&gt;15,25000,1666.6666*numhorasmed),0)*porjubcar*frac</f>
        <v>20500</v>
      </c>
      <c r="P293" s="310"/>
      <c r="Q293" s="309">
        <f>IF(AND(porcantighorasmed&gt;=50%,$C293=1),IF(numhorasmed&gt;15,25000,1666.6666*numhorasmed),0)*porjubcar*frac</f>
        <v>20500</v>
      </c>
      <c r="R293" s="310"/>
    </row>
    <row r="294" spans="2:18" ht="21" hidden="1" thickBot="1" x14ac:dyDescent="0.35">
      <c r="B294" s="568">
        <v>1650</v>
      </c>
      <c r="C294" s="567">
        <f>C240</f>
        <v>1</v>
      </c>
      <c r="D294" s="569" t="s">
        <v>500</v>
      </c>
      <c r="E294" s="570">
        <f>IF($C294=1,IF(numhorasmed&lt;15,2000*numhorasmed,30000),0)</f>
        <v>30000</v>
      </c>
      <c r="F294" s="310"/>
      <c r="G294" s="570">
        <f>IF($C294=1,IF(numhorasmed&lt;15,2000*numhorasmed,30000),0)</f>
        <v>30000</v>
      </c>
      <c r="H294" s="310"/>
      <c r="I294" s="570">
        <f>IF($C294=1,IF(numhorasmed&lt;15,2000*numhorasmed,30000),0)</f>
        <v>30000</v>
      </c>
      <c r="J294" s="310"/>
      <c r="K294" s="570">
        <f>IF($C294=1,IF(numhorasmed&lt;15,2000*numhorasmed,30000),0)</f>
        <v>30000</v>
      </c>
      <c r="L294" s="310"/>
      <c r="M294" s="570">
        <f>IF($C294=1,IF(numhorasmed&lt;15,2000*numhorasmed,30000),0)</f>
        <v>30000</v>
      </c>
      <c r="N294" s="310"/>
      <c r="O294" s="570">
        <f>IF($C294=1,IF(numhorasmed&lt;15,2000*numhorasmed,30000),0)</f>
        <v>30000</v>
      </c>
      <c r="P294" s="310"/>
      <c r="Q294" s="570">
        <v>0</v>
      </c>
      <c r="R294" s="310"/>
    </row>
    <row r="295" spans="2:18" ht="18.75" hidden="1" thickBot="1" x14ac:dyDescent="0.3">
      <c r="B295" s="290"/>
      <c r="C295" s="349"/>
      <c r="D295" s="312" t="s">
        <v>464</v>
      </c>
      <c r="E295" s="356">
        <f>SUM(E285:E294)</f>
        <v>1790196.1028239666</v>
      </c>
      <c r="F295" s="314"/>
      <c r="G295" s="356">
        <f>SUM(G285:G294)</f>
        <v>1756625.5743372226</v>
      </c>
      <c r="H295" s="314"/>
      <c r="I295" s="356">
        <f>SUM(I285:I294)</f>
        <v>1731819.7651105642</v>
      </c>
      <c r="J295" s="314"/>
      <c r="K295" s="356">
        <f>SUM(K285:K294)</f>
        <v>1675896.8457589992</v>
      </c>
      <c r="L295" s="314"/>
      <c r="M295" s="356">
        <f>SUM(M285:M294)</f>
        <v>1629359.048795145</v>
      </c>
      <c r="N295" s="314"/>
      <c r="O295" s="356">
        <f>SUM(O285:O294)</f>
        <v>1576900.7565960619</v>
      </c>
      <c r="P295" s="314"/>
      <c r="Q295" s="356">
        <f>SUM(Q285:Q294)</f>
        <v>1546900.7565960619</v>
      </c>
      <c r="R295" s="314"/>
    </row>
    <row r="296" spans="2:18" ht="16.5" hidden="1" thickBot="1" x14ac:dyDescent="0.3">
      <c r="B296" s="290">
        <v>703</v>
      </c>
      <c r="C296" s="315">
        <v>2.5000000000000001E-3</v>
      </c>
      <c r="D296" s="316" t="s">
        <v>489</v>
      </c>
      <c r="E296" s="317">
        <f>(E295-E291-E294)*$C296</f>
        <v>4400.490257059917</v>
      </c>
      <c r="F296" s="318"/>
      <c r="G296" s="317">
        <f>(G295-G291-G294)*$C296</f>
        <v>4316.5639358430562</v>
      </c>
      <c r="H296" s="318"/>
      <c r="I296" s="317">
        <f>(I295-I291-I294)*$C296</f>
        <v>4254.5494127764105</v>
      </c>
      <c r="J296" s="318"/>
      <c r="K296" s="317">
        <f>(K295-K291-K294)*$C296</f>
        <v>4114.742114397498</v>
      </c>
      <c r="L296" s="318"/>
      <c r="M296" s="317">
        <f>(M295-M291-M294)*$C296</f>
        <v>3998.3976219878627</v>
      </c>
      <c r="N296" s="318"/>
      <c r="O296" s="317">
        <f>(O295-O291-O294)*$C296</f>
        <v>3867.2518914901548</v>
      </c>
      <c r="P296" s="318"/>
      <c r="Q296" s="317">
        <f>(Q295-Q291-Q294)*$C296</f>
        <v>3867.2518914901548</v>
      </c>
      <c r="R296" s="318"/>
    </row>
    <row r="297" spans="2:18" ht="16.5" hidden="1" thickBot="1" x14ac:dyDescent="0.3">
      <c r="B297" s="290">
        <v>707</v>
      </c>
      <c r="C297" s="319">
        <v>0.03</v>
      </c>
      <c r="D297" s="290" t="s">
        <v>466</v>
      </c>
      <c r="E297" s="317">
        <f>(E295-E291-E294)*$C297</f>
        <v>52805.883084718997</v>
      </c>
      <c r="F297" s="252"/>
      <c r="G297" s="317">
        <f>(G295-G291-G294)*$C297</f>
        <v>51798.767230116675</v>
      </c>
      <c r="H297" s="252"/>
      <c r="I297" s="317">
        <f>(I295-I291-I294)*$C297</f>
        <v>51054.592953316926</v>
      </c>
      <c r="J297" s="252"/>
      <c r="K297" s="317">
        <f>(K295-K291-K294)*$C297</f>
        <v>49376.905372769972</v>
      </c>
      <c r="L297" s="252"/>
      <c r="M297" s="317">
        <f>(M295-M291-M294)*$C297</f>
        <v>47980.771463854348</v>
      </c>
      <c r="N297" s="252"/>
      <c r="O297" s="317">
        <f>(O295-O291-O294)*$C297</f>
        <v>46407.022697881854</v>
      </c>
      <c r="P297" s="252"/>
      <c r="Q297" s="317">
        <f>(Q295-Q291-Q294)*$C297</f>
        <v>46407.022697881854</v>
      </c>
      <c r="R297" s="252"/>
    </row>
    <row r="298" spans="2:18" ht="16.5" hidden="1" thickBot="1" x14ac:dyDescent="0.3">
      <c r="B298" s="290">
        <v>709</v>
      </c>
      <c r="C298" s="472">
        <f>C244</f>
        <v>1.5E-3</v>
      </c>
      <c r="D298" s="290" t="s">
        <v>467</v>
      </c>
      <c r="E298" s="317">
        <f>(E295-E291-E294)*$C298</f>
        <v>2640.2941542359499</v>
      </c>
      <c r="F298" s="252"/>
      <c r="G298" s="317">
        <f>(G295-G291-G294)*$C298</f>
        <v>2589.9383615058341</v>
      </c>
      <c r="H298" s="252"/>
      <c r="I298" s="317">
        <f>(I295-I291-I294)*$C298</f>
        <v>2552.7296476658462</v>
      </c>
      <c r="J298" s="252"/>
      <c r="K298" s="317">
        <f>(K295-K291-K294)*$C298</f>
        <v>2468.845268638499</v>
      </c>
      <c r="L298" s="252"/>
      <c r="M298" s="317">
        <f>(M295-M291-M294)*$C298</f>
        <v>2399.0385731927176</v>
      </c>
      <c r="N298" s="252"/>
      <c r="O298" s="317">
        <f>(O295-O291-O294)*$C298</f>
        <v>2320.3511348940929</v>
      </c>
      <c r="P298" s="252"/>
      <c r="Q298" s="317">
        <f>(Q295-Q291-Q294)*$C298</f>
        <v>2320.3511348940929</v>
      </c>
      <c r="R298" s="252"/>
    </row>
    <row r="299" spans="2:18" ht="16.5" hidden="1" thickBot="1" x14ac:dyDescent="0.3">
      <c r="B299" s="290">
        <v>713</v>
      </c>
      <c r="C299" s="321">
        <v>7.0000000000000001E-3</v>
      </c>
      <c r="D299" s="290" t="s">
        <v>468</v>
      </c>
      <c r="E299" s="317">
        <f>(E295-E291-E294)*$C299</f>
        <v>12321.372719767767</v>
      </c>
      <c r="F299" s="252"/>
      <c r="G299" s="317">
        <f>(G295-G291-G294)*$C299</f>
        <v>12086.379020360559</v>
      </c>
      <c r="H299" s="252"/>
      <c r="I299" s="317">
        <f>(I295-I291-I294)*$C299</f>
        <v>11912.73835577395</v>
      </c>
      <c r="J299" s="252"/>
      <c r="K299" s="317">
        <f>(K295-K291-K294)*$C299</f>
        <v>11521.277920312994</v>
      </c>
      <c r="L299" s="252"/>
      <c r="M299" s="317">
        <f>(M295-M291-M294)*$C299</f>
        <v>11195.513341566015</v>
      </c>
      <c r="N299" s="252"/>
      <c r="O299" s="317">
        <f>(O295-O291-O294)*$C299</f>
        <v>10828.305296172433</v>
      </c>
      <c r="P299" s="252"/>
      <c r="Q299" s="317">
        <f>(Q295-Q291-Q294)*$C299</f>
        <v>10828.305296172433</v>
      </c>
      <c r="R299" s="252"/>
    </row>
    <row r="300" spans="2:18" ht="16.5" hidden="1" thickBot="1" x14ac:dyDescent="0.3">
      <c r="B300" s="290">
        <v>787</v>
      </c>
      <c r="C300" s="319">
        <f>C246</f>
        <v>0</v>
      </c>
      <c r="D300" s="290" t="s">
        <v>469</v>
      </c>
      <c r="E300" s="317">
        <f>(E295-E291-E294)*$C300</f>
        <v>0</v>
      </c>
      <c r="F300" s="252"/>
      <c r="G300" s="317">
        <f>(G295-G291-G294)*$C300</f>
        <v>0</v>
      </c>
      <c r="H300" s="252"/>
      <c r="I300" s="317">
        <f>(I295-I291-I294)*$C300</f>
        <v>0</v>
      </c>
      <c r="J300" s="252"/>
      <c r="K300" s="317">
        <f>(K295-K291-K294)*$C300</f>
        <v>0</v>
      </c>
      <c r="L300" s="252"/>
      <c r="M300" s="317">
        <f>(M295-M291-M294)*$C300</f>
        <v>0</v>
      </c>
      <c r="N300" s="252"/>
      <c r="O300" s="317">
        <f>(O295-O291-O294)*$C300</f>
        <v>0</v>
      </c>
      <c r="P300" s="252"/>
      <c r="Q300" s="317">
        <f>(Q295-Q291-Q294)*$C300</f>
        <v>0</v>
      </c>
      <c r="R300" s="252"/>
    </row>
    <row r="301" spans="2:18" ht="16.5" hidden="1" thickBot="1" x14ac:dyDescent="0.3">
      <c r="B301" s="290"/>
      <c r="C301" s="290"/>
      <c r="D301" s="290" t="s">
        <v>470</v>
      </c>
      <c r="E301" s="322">
        <f>E247</f>
        <v>0</v>
      </c>
      <c r="F301" s="252"/>
      <c r="G301" s="322">
        <f>G247</f>
        <v>0</v>
      </c>
      <c r="H301" s="252"/>
      <c r="I301" s="322">
        <f>I247</f>
        <v>0</v>
      </c>
      <c r="J301" s="252"/>
      <c r="K301" s="322">
        <f>K247</f>
        <v>0</v>
      </c>
      <c r="L301" s="252"/>
      <c r="M301" s="322">
        <f>M247</f>
        <v>0</v>
      </c>
      <c r="N301" s="252"/>
      <c r="O301" s="322">
        <f>O247</f>
        <v>0</v>
      </c>
      <c r="P301" s="252"/>
      <c r="Q301" s="322">
        <f>Q247</f>
        <v>0</v>
      </c>
      <c r="R301" s="252"/>
    </row>
    <row r="302" spans="2:18" ht="16.5" hidden="1" thickBot="1" x14ac:dyDescent="0.3">
      <c r="B302" s="290"/>
      <c r="C302" s="323"/>
      <c r="D302" s="323" t="s">
        <v>471</v>
      </c>
      <c r="E302" s="473">
        <f>SUM(E296:E301)</f>
        <v>72168.040215782632</v>
      </c>
      <c r="F302" s="325"/>
      <c r="G302" s="473">
        <f>SUM(G296:G301)</f>
        <v>70791.648547826117</v>
      </c>
      <c r="H302" s="325"/>
      <c r="I302" s="473">
        <f>SUM(I296:I301)</f>
        <v>69774.610369533126</v>
      </c>
      <c r="J302" s="325"/>
      <c r="K302" s="473">
        <f>SUM(K296:K301)</f>
        <v>67481.770676118962</v>
      </c>
      <c r="L302" s="325"/>
      <c r="M302" s="473">
        <f>SUM(M296:M301)</f>
        <v>65573.721000600941</v>
      </c>
      <c r="N302" s="325"/>
      <c r="O302" s="473">
        <f>SUM(O296:O301)</f>
        <v>63422.931020438533</v>
      </c>
      <c r="P302" s="325"/>
      <c r="Q302" s="473">
        <f>SUM(Q296:Q301)</f>
        <v>63422.931020438533</v>
      </c>
      <c r="R302" s="325"/>
    </row>
    <row r="303" spans="2:18" ht="16.5" hidden="1" thickBot="1" x14ac:dyDescent="0.3">
      <c r="B303" s="323"/>
      <c r="C303" s="298"/>
      <c r="D303" s="290"/>
      <c r="E303" s="326"/>
      <c r="F303" s="252"/>
      <c r="G303" s="326"/>
      <c r="H303" s="252"/>
      <c r="I303" s="326"/>
      <c r="J303" s="252"/>
      <c r="K303" s="326"/>
      <c r="L303" s="252"/>
      <c r="M303" s="326"/>
      <c r="N303" s="252"/>
      <c r="O303" s="326"/>
      <c r="P303" s="252"/>
      <c r="Q303" s="326"/>
      <c r="R303" s="252"/>
    </row>
    <row r="304" spans="2:18" ht="21" hidden="1" thickBot="1" x14ac:dyDescent="0.35">
      <c r="B304" s="298"/>
      <c r="C304" s="298"/>
      <c r="D304" s="327" t="s">
        <v>472</v>
      </c>
      <c r="E304" s="474">
        <f>E295-E302</f>
        <v>1718028.0626081841</v>
      </c>
      <c r="F304" s="475"/>
      <c r="G304" s="474">
        <f>G295-G302</f>
        <v>1685833.9257893965</v>
      </c>
      <c r="H304" s="475"/>
      <c r="I304" s="474">
        <f>I295-I302</f>
        <v>1662045.1547410311</v>
      </c>
      <c r="J304" s="475"/>
      <c r="K304" s="474">
        <f>K295-K302</f>
        <v>1608415.0750828802</v>
      </c>
      <c r="L304" s="475"/>
      <c r="M304" s="474">
        <f>M295-M302</f>
        <v>1563785.3277945442</v>
      </c>
      <c r="N304" s="475"/>
      <c r="O304" s="474">
        <f>O295-O302</f>
        <v>1513477.8255756234</v>
      </c>
      <c r="P304" s="475"/>
      <c r="Q304" s="474">
        <f>Q295-Q302</f>
        <v>1483477.8255756234</v>
      </c>
      <c r="R304" s="475"/>
    </row>
    <row r="305" spans="2:18" ht="18.75" hidden="1" thickBot="1" x14ac:dyDescent="0.3">
      <c r="B305" s="298"/>
      <c r="C305" s="298"/>
      <c r="D305" s="432" t="s">
        <v>444</v>
      </c>
      <c r="E305" s="433">
        <f>(E295-E291-E294)*0.03</f>
        <v>52805.883084718997</v>
      </c>
      <c r="F305" s="432"/>
      <c r="G305" s="433">
        <f>(G295-G291-G294)*0.03</f>
        <v>51798.767230116675</v>
      </c>
      <c r="H305" s="432"/>
      <c r="I305" s="433">
        <f>(I295-I291-I294)*0.03</f>
        <v>51054.592953316926</v>
      </c>
      <c r="J305" s="432"/>
      <c r="K305" s="433">
        <f>(K295-K291-K294)*0.03</f>
        <v>49376.905372769972</v>
      </c>
      <c r="L305" s="432"/>
      <c r="M305" s="433">
        <f>(M295-M291-M294)*0.03</f>
        <v>47980.771463854348</v>
      </c>
      <c r="N305" s="432"/>
      <c r="O305" s="433">
        <f>(O295-O291-O294)*0.03</f>
        <v>46407.022697881854</v>
      </c>
      <c r="P305" s="432"/>
      <c r="Q305" s="433">
        <f>(Q295-Q291-Q294)*0.03</f>
        <v>46407.022697881854</v>
      </c>
      <c r="R305" s="432"/>
    </row>
    <row r="306" spans="2:18" ht="24" hidden="1" thickBot="1" x14ac:dyDescent="0.4">
      <c r="B306" s="298"/>
      <c r="C306" s="298"/>
      <c r="D306" s="434" t="s">
        <v>445</v>
      </c>
      <c r="E306" s="431">
        <f>E304-E305</f>
        <v>1665222.179523465</v>
      </c>
      <c r="F306" s="432"/>
      <c r="G306" s="431">
        <f>G304-G305</f>
        <v>1634035.1585592797</v>
      </c>
      <c r="H306" s="432"/>
      <c r="I306" s="431">
        <f>I304-I305</f>
        <v>1610990.5617877143</v>
      </c>
      <c r="J306" s="432"/>
      <c r="K306" s="431">
        <f>K304-K305</f>
        <v>1559038.1697101102</v>
      </c>
      <c r="L306" s="432"/>
      <c r="M306" s="431">
        <f>M304-M305</f>
        <v>1515804.5563306899</v>
      </c>
      <c r="N306" s="432"/>
      <c r="O306" s="431">
        <f>O304-O305</f>
        <v>1467070.8028777416</v>
      </c>
      <c r="P306" s="432"/>
      <c r="Q306" s="431">
        <f>Q304-Q305</f>
        <v>1437070.8028777416</v>
      </c>
      <c r="R306" s="432"/>
    </row>
    <row r="307" spans="2:18" ht="16.5" hidden="1" thickBot="1" x14ac:dyDescent="0.3">
      <c r="B307" s="298"/>
      <c r="C307" s="290"/>
      <c r="D307" s="327"/>
      <c r="E307" s="476"/>
      <c r="F307" s="359"/>
      <c r="G307" s="476"/>
      <c r="H307" s="359"/>
      <c r="I307" s="476"/>
      <c r="J307" s="359"/>
      <c r="K307" s="476"/>
      <c r="L307" s="359"/>
      <c r="M307" s="476"/>
      <c r="N307" s="359"/>
      <c r="O307" s="476"/>
      <c r="P307" s="359"/>
      <c r="Q307" s="476"/>
      <c r="R307" s="359"/>
    </row>
    <row r="308" spans="2:18" ht="18.75" hidden="1" thickBot="1" x14ac:dyDescent="0.3">
      <c r="B308" s="290"/>
      <c r="C308" s="335"/>
      <c r="D308" s="336" t="s">
        <v>473</v>
      </c>
      <c r="E308" s="337">
        <f>E304-G304</f>
        <v>32194.136818787549</v>
      </c>
      <c r="F308" s="338"/>
      <c r="G308" s="337">
        <f>G304-I304</f>
        <v>23788.771048365394</v>
      </c>
      <c r="H308" s="338"/>
      <c r="I308" s="337">
        <f>I304-K304</f>
        <v>53630.079658150906</v>
      </c>
      <c r="J308" s="338"/>
      <c r="K308" s="337">
        <f>K304-M304</f>
        <v>44629.747288336046</v>
      </c>
      <c r="L308" s="338"/>
      <c r="M308" s="337">
        <f>M304-O304</f>
        <v>50307.502218920738</v>
      </c>
      <c r="N308" s="338"/>
      <c r="O308" s="337">
        <f>O304-Q304</f>
        <v>30000</v>
      </c>
      <c r="P308" s="338"/>
      <c r="Q308" s="337"/>
      <c r="R308" s="338"/>
    </row>
    <row r="309" spans="2:18" ht="18.75" hidden="1" thickBot="1" x14ac:dyDescent="0.3">
      <c r="B309" s="290"/>
      <c r="C309" s="335"/>
      <c r="D309" s="336" t="s">
        <v>474</v>
      </c>
      <c r="E309" s="340">
        <f>E308/G304</f>
        <v>1.909686139677878E-2</v>
      </c>
      <c r="F309" s="338"/>
      <c r="G309" s="340">
        <f>G308/I304</f>
        <v>1.4312951113576696E-2</v>
      </c>
      <c r="H309" s="338"/>
      <c r="I309" s="340">
        <f>I308/K304</f>
        <v>3.334343260578268E-2</v>
      </c>
      <c r="J309" s="338"/>
      <c r="K309" s="340">
        <f>K308/M304</f>
        <v>2.8539561342015397E-2</v>
      </c>
      <c r="L309" s="338"/>
      <c r="M309" s="340">
        <f>M308/O304</f>
        <v>3.3239669170433472E-2</v>
      </c>
      <c r="N309" s="338"/>
      <c r="O309" s="340">
        <f>O308/Q304</f>
        <v>2.0222749193004833E-2</v>
      </c>
      <c r="P309" s="338"/>
      <c r="Q309" s="477"/>
      <c r="R309" s="338"/>
    </row>
    <row r="310" spans="2:18" ht="18.75" hidden="1" thickBot="1" x14ac:dyDescent="0.3">
      <c r="B310" s="290"/>
      <c r="C310" s="290"/>
      <c r="D310" s="290"/>
      <c r="E310" s="290"/>
      <c r="F310" s="479"/>
      <c r="G310" s="290"/>
      <c r="H310" s="479"/>
      <c r="I310" s="290"/>
      <c r="J310" s="479"/>
      <c r="K310" s="290"/>
      <c r="L310" s="479"/>
      <c r="M310" s="290"/>
      <c r="N310" s="479"/>
      <c r="O310" s="290"/>
      <c r="P310" s="479"/>
      <c r="Q310" s="478"/>
      <c r="R310" s="479"/>
    </row>
    <row r="311" spans="2:18" ht="18.75" hidden="1" thickBot="1" x14ac:dyDescent="0.3">
      <c r="B311" s="290"/>
      <c r="C311" s="290"/>
      <c r="D311" s="250" t="s">
        <v>446</v>
      </c>
      <c r="E311" s="341">
        <f>E306-G306</f>
        <v>31187.020964185242</v>
      </c>
      <c r="F311" s="479"/>
      <c r="G311" s="341">
        <f>G306-I306</f>
        <v>23044.596771565499</v>
      </c>
      <c r="H311" s="479"/>
      <c r="I311" s="341">
        <f>I306-K306</f>
        <v>51952.392077604076</v>
      </c>
      <c r="J311" s="479"/>
      <c r="K311" s="341">
        <f>K306-M306</f>
        <v>43233.613379420247</v>
      </c>
      <c r="L311" s="479"/>
      <c r="M311" s="341">
        <f>M306-O306</f>
        <v>48733.753452948295</v>
      </c>
      <c r="N311" s="479"/>
      <c r="O311" s="341">
        <f>O306-Q306</f>
        <v>30000</v>
      </c>
      <c r="P311" s="479"/>
      <c r="Q311" s="341"/>
      <c r="R311" s="479"/>
    </row>
    <row r="312" spans="2:18" ht="18.75" hidden="1" thickBot="1" x14ac:dyDescent="0.3">
      <c r="B312" s="290"/>
      <c r="C312" s="290"/>
      <c r="D312" s="250" t="s">
        <v>447</v>
      </c>
      <c r="E312" s="342">
        <f>E311/G306</f>
        <v>1.9085893471033191E-2</v>
      </c>
      <c r="F312" s="479"/>
      <c r="G312" s="342">
        <f>G311/I306</f>
        <v>1.4304613148070177E-2</v>
      </c>
      <c r="H312" s="479"/>
      <c r="I312" s="342">
        <f>I311/K306</f>
        <v>3.3323361215244769E-2</v>
      </c>
      <c r="J312" s="479"/>
      <c r="K312" s="342">
        <f>K311/M306</f>
        <v>2.8521891690361397E-2</v>
      </c>
      <c r="L312" s="479"/>
      <c r="M312" s="342">
        <f>M311/O306</f>
        <v>3.3218405926526723E-2</v>
      </c>
      <c r="N312" s="479"/>
      <c r="O312" s="342">
        <f>O311/Q306</f>
        <v>2.0875798144339753E-2</v>
      </c>
      <c r="P312" s="479"/>
      <c r="Q312" s="342"/>
      <c r="R312" s="479"/>
    </row>
    <row r="313" spans="2:18" ht="16.5" hidden="1" thickBot="1" x14ac:dyDescent="0.3">
      <c r="B313" s="290"/>
      <c r="C313" s="290"/>
      <c r="D313" s="290"/>
      <c r="E313" s="290"/>
      <c r="F313" s="252"/>
      <c r="G313" s="290"/>
      <c r="H313" s="252"/>
      <c r="I313" s="290"/>
      <c r="J313" s="252"/>
      <c r="K313" s="290"/>
      <c r="L313" s="252"/>
      <c r="M313" s="290"/>
      <c r="N313" s="252"/>
      <c r="O313" s="290"/>
      <c r="P313" s="252"/>
      <c r="Q313" s="290"/>
      <c r="R313" s="252"/>
    </row>
    <row r="314" spans="2:18" ht="18.75" hidden="1" thickBot="1" x14ac:dyDescent="0.3">
      <c r="B314" s="290"/>
      <c r="C314" s="290"/>
      <c r="D314" s="261" t="s">
        <v>475</v>
      </c>
      <c r="E314" s="343">
        <f>E304-$Q304</f>
        <v>234550.23703256063</v>
      </c>
      <c r="F314" s="348"/>
      <c r="G314" s="343">
        <f>G304-$Q304</f>
        <v>202356.10021377308</v>
      </c>
      <c r="H314" s="348"/>
      <c r="I314" s="343">
        <f>I304-$Q304</f>
        <v>178567.32916540769</v>
      </c>
      <c r="J314" s="348"/>
      <c r="K314" s="343">
        <f>K304-$Q304</f>
        <v>124937.24950725678</v>
      </c>
      <c r="L314" s="348"/>
      <c r="M314" s="343">
        <f>M304-$Q304</f>
        <v>80307.502218920738</v>
      </c>
      <c r="N314" s="348"/>
      <c r="O314" s="343">
        <f>O304-$Q304</f>
        <v>30000</v>
      </c>
      <c r="P314" s="348"/>
      <c r="Q314" s="343"/>
      <c r="R314" s="348"/>
    </row>
    <row r="315" spans="2:18" ht="18.75" hidden="1" thickBot="1" x14ac:dyDescent="0.3">
      <c r="B315" s="290"/>
      <c r="C315" s="290"/>
      <c r="D315" s="261" t="s">
        <v>476</v>
      </c>
      <c r="E315" s="345">
        <f>E314/$Q304</f>
        <v>0.1581083538889769</v>
      </c>
      <c r="F315" s="262"/>
      <c r="G315" s="345">
        <f>G314/$Q304</f>
        <v>0.1364065554099228</v>
      </c>
      <c r="H315" s="262"/>
      <c r="I315" s="345">
        <f>I314/$Q304</f>
        <v>0.12037074372589254</v>
      </c>
      <c r="J315" s="262"/>
      <c r="K315" s="345">
        <f>K314/$Q304</f>
        <v>8.4219155388304018E-2</v>
      </c>
      <c r="L315" s="262"/>
      <c r="M315" s="345">
        <f>M314/$Q304</f>
        <v>5.4134615856330434E-2</v>
      </c>
      <c r="N315" s="262"/>
      <c r="O315" s="345">
        <f>O314/$Q304</f>
        <v>2.0222749193004833E-2</v>
      </c>
      <c r="P315" s="262"/>
      <c r="Q315" s="345"/>
      <c r="R315" s="262"/>
    </row>
    <row r="316" spans="2:18" ht="16.5" hidden="1" thickBot="1" x14ac:dyDescent="0.3">
      <c r="B316" s="290"/>
      <c r="C316" s="290"/>
      <c r="D316" s="346"/>
      <c r="E316" s="347"/>
      <c r="F316" s="262"/>
      <c r="G316" s="347"/>
      <c r="H316" s="262"/>
      <c r="I316" s="347"/>
      <c r="J316" s="262"/>
      <c r="K316" s="347"/>
      <c r="L316" s="262"/>
      <c r="M316" s="347"/>
      <c r="N316" s="262"/>
      <c r="O316" s="347"/>
      <c r="P316" s="262"/>
      <c r="Q316" s="347"/>
      <c r="R316" s="262"/>
    </row>
    <row r="317" spans="2:18" ht="18.75" hidden="1" thickBot="1" x14ac:dyDescent="0.3">
      <c r="B317" s="290"/>
      <c r="C317" s="290"/>
      <c r="D317" s="261" t="s">
        <v>448</v>
      </c>
      <c r="E317" s="343">
        <f>E306-$Q306</f>
        <v>228151.37664572336</v>
      </c>
      <c r="F317" s="262"/>
      <c r="G317" s="343">
        <f>G306-$Q306</f>
        <v>196964.35568153812</v>
      </c>
      <c r="H317" s="262"/>
      <c r="I317" s="343">
        <f>I306-$Q306</f>
        <v>173919.75890997262</v>
      </c>
      <c r="J317" s="262"/>
      <c r="K317" s="343">
        <f>K306-$Q306</f>
        <v>121967.36683236854</v>
      </c>
      <c r="L317" s="262"/>
      <c r="M317" s="343">
        <f>M306-$Q306</f>
        <v>78733.753452948295</v>
      </c>
      <c r="N317" s="262"/>
      <c r="O317" s="343">
        <f>O306-$Q306</f>
        <v>30000</v>
      </c>
      <c r="P317" s="262"/>
      <c r="Q317" s="343"/>
      <c r="R317" s="262"/>
    </row>
    <row r="318" spans="2:18" ht="18.75" hidden="1" thickBot="1" x14ac:dyDescent="0.3">
      <c r="B318" s="290"/>
      <c r="C318" s="290"/>
      <c r="D318" s="261" t="s">
        <v>449</v>
      </c>
      <c r="E318" s="345">
        <f>E317/$Q306</f>
        <v>0.15876140284031173</v>
      </c>
      <c r="F318" s="262"/>
      <c r="G318" s="345">
        <f>G317/$Q306</f>
        <v>0.13705960436125764</v>
      </c>
      <c r="H318" s="262"/>
      <c r="I318" s="345">
        <f>I317/$Q306</f>
        <v>0.12102379267722746</v>
      </c>
      <c r="J318" s="262"/>
      <c r="K318" s="345">
        <f>K317/$Q306</f>
        <v>8.4872204339638838E-2</v>
      </c>
      <c r="L318" s="262"/>
      <c r="M318" s="345">
        <f>M317/$Q306</f>
        <v>5.4787664807665393E-2</v>
      </c>
      <c r="N318" s="262"/>
      <c r="O318" s="345">
        <f>O317/$Q306</f>
        <v>2.0875798144339753E-2</v>
      </c>
      <c r="P318" s="262"/>
      <c r="Q318" s="345"/>
      <c r="R318" s="262"/>
    </row>
    <row r="319" spans="2:18" ht="16.5" hidden="1" thickBot="1" x14ac:dyDescent="0.3">
      <c r="B319" s="290"/>
      <c r="C319" s="290"/>
      <c r="D319" s="349"/>
      <c r="E319" s="349"/>
      <c r="F319" s="350"/>
      <c r="G319" s="349"/>
      <c r="H319" s="350"/>
      <c r="I319" s="349"/>
      <c r="J319" s="350"/>
      <c r="K319" s="349"/>
      <c r="L319" s="350"/>
      <c r="M319" s="349"/>
      <c r="N319" s="350"/>
      <c r="O319" s="349"/>
      <c r="P319" s="350"/>
      <c r="Q319" s="349"/>
      <c r="R319" s="350"/>
    </row>
    <row r="320" spans="2:18" ht="21" hidden="1" thickBot="1" x14ac:dyDescent="0.35">
      <c r="B320" s="290"/>
      <c r="C320" s="290"/>
      <c r="D320" s="351" t="s">
        <v>477</v>
      </c>
      <c r="E320" s="481"/>
      <c r="F320" s="353"/>
      <c r="G320" s="481"/>
      <c r="H320" s="353"/>
      <c r="I320" s="481"/>
      <c r="J320" s="353"/>
      <c r="K320" s="481"/>
      <c r="L320" s="353"/>
      <c r="M320" s="481"/>
      <c r="N320" s="353"/>
      <c r="O320" s="481"/>
      <c r="P320" s="353"/>
      <c r="Q320" s="481"/>
      <c r="R320" s="353"/>
    </row>
    <row r="321" spans="1:25" ht="16.5" hidden="1" thickBot="1" x14ac:dyDescent="0.3">
      <c r="B321" s="290"/>
      <c r="C321" s="290"/>
      <c r="D321" s="354"/>
      <c r="E321" s="290"/>
      <c r="F321" s="355"/>
      <c r="G321" s="290"/>
      <c r="H321" s="355"/>
      <c r="I321" s="290"/>
      <c r="J321" s="355"/>
      <c r="K321" s="290"/>
      <c r="L321" s="355"/>
      <c r="M321" s="290"/>
      <c r="N321" s="355"/>
      <c r="O321" s="290"/>
      <c r="P321" s="355"/>
      <c r="Q321" s="290"/>
      <c r="R321" s="355"/>
    </row>
    <row r="322" spans="1:25" ht="16.5" hidden="1" thickBot="1" x14ac:dyDescent="0.3">
      <c r="B322" s="290"/>
      <c r="C322" s="290"/>
      <c r="D322" s="356" t="s">
        <v>478</v>
      </c>
      <c r="E322" s="356">
        <f>E295*0.5</f>
        <v>895098.05141198332</v>
      </c>
      <c r="F322" s="357"/>
      <c r="G322" s="356">
        <f>G295*0.5</f>
        <v>878312.78716861131</v>
      </c>
      <c r="H322" s="357"/>
      <c r="I322" s="356">
        <f>I295*0.5</f>
        <v>865909.88255528209</v>
      </c>
      <c r="J322" s="357"/>
      <c r="K322" s="356">
        <f>K295*0.5</f>
        <v>837948.42287949962</v>
      </c>
      <c r="L322" s="357"/>
      <c r="M322" s="356">
        <f>M295*0.5</f>
        <v>814679.5243975725</v>
      </c>
      <c r="N322" s="357"/>
      <c r="O322" s="356">
        <f>O295*0.5</f>
        <v>788450.37829803093</v>
      </c>
      <c r="P322" s="357"/>
      <c r="Q322" s="356">
        <f>Q295*0.5</f>
        <v>773450.37829803093</v>
      </c>
      <c r="R322" s="357"/>
    </row>
    <row r="323" spans="1:25" ht="16.5" hidden="1" thickBot="1" x14ac:dyDescent="0.3">
      <c r="B323" s="290"/>
      <c r="C323" s="290"/>
      <c r="D323" s="354"/>
      <c r="E323" s="290"/>
      <c r="F323" s="355"/>
      <c r="G323" s="290"/>
      <c r="H323" s="355"/>
      <c r="I323" s="290"/>
      <c r="J323" s="355"/>
      <c r="K323" s="290"/>
      <c r="L323" s="355"/>
      <c r="M323" s="290"/>
      <c r="N323" s="355"/>
      <c r="O323" s="290"/>
      <c r="P323" s="355"/>
      <c r="Q323" s="290"/>
      <c r="R323" s="355"/>
    </row>
    <row r="324" spans="1:25" ht="16.5" hidden="1" thickBot="1" x14ac:dyDescent="0.3">
      <c r="B324" s="290"/>
      <c r="C324" s="290"/>
      <c r="D324" s="356" t="s">
        <v>471</v>
      </c>
      <c r="E324" s="290"/>
      <c r="F324" s="357"/>
      <c r="G324" s="290"/>
      <c r="H324" s="357"/>
      <c r="I324" s="290"/>
      <c r="J324" s="357"/>
      <c r="K324" s="290"/>
      <c r="L324" s="357"/>
      <c r="M324" s="290"/>
      <c r="N324" s="357"/>
      <c r="O324" s="290"/>
      <c r="P324" s="357"/>
      <c r="Q324" s="290"/>
      <c r="R324" s="357"/>
    </row>
    <row r="325" spans="1:25" ht="16.5" hidden="1" thickBot="1" x14ac:dyDescent="0.3">
      <c r="B325" s="290">
        <v>703</v>
      </c>
      <c r="C325" s="315">
        <v>2.5000000000000001E-3</v>
      </c>
      <c r="D325" s="316" t="s">
        <v>465</v>
      </c>
      <c r="E325" s="317">
        <f>E322*0.0025</f>
        <v>2237.7451285299585</v>
      </c>
      <c r="F325" s="318"/>
      <c r="G325" s="317">
        <f>G322*0.0025</f>
        <v>2195.7819679215281</v>
      </c>
      <c r="H325" s="318"/>
      <c r="I325" s="317">
        <f>I322*0.0025</f>
        <v>2164.7747063882052</v>
      </c>
      <c r="J325" s="318"/>
      <c r="K325" s="317">
        <f>K322*0.0025</f>
        <v>2094.871057198749</v>
      </c>
      <c r="L325" s="318"/>
      <c r="M325" s="317">
        <f>M322*0.0025</f>
        <v>2036.6988109939314</v>
      </c>
      <c r="N325" s="318"/>
      <c r="O325" s="317">
        <f>O322*0.0025</f>
        <v>1971.1259457450774</v>
      </c>
      <c r="P325" s="318"/>
      <c r="Q325" s="317">
        <f>Q322*0.0025</f>
        <v>1933.6259457450774</v>
      </c>
      <c r="R325" s="318"/>
    </row>
    <row r="326" spans="1:25" ht="16.5" hidden="1" thickBot="1" x14ac:dyDescent="0.3">
      <c r="B326" s="290">
        <v>707</v>
      </c>
      <c r="C326" s="319">
        <v>0.03</v>
      </c>
      <c r="D326" s="290" t="s">
        <v>466</v>
      </c>
      <c r="E326" s="317">
        <f>E322*0.03</f>
        <v>26852.941542359498</v>
      </c>
      <c r="F326" s="252"/>
      <c r="G326" s="317">
        <f>G322*0.03</f>
        <v>26349.383615058337</v>
      </c>
      <c r="H326" s="252"/>
      <c r="I326" s="317">
        <f>I322*0.03</f>
        <v>25977.296476658463</v>
      </c>
      <c r="J326" s="252"/>
      <c r="K326" s="317">
        <f>K322*0.03</f>
        <v>25138.452686384986</v>
      </c>
      <c r="L326" s="252"/>
      <c r="M326" s="317">
        <f>M322*0.03</f>
        <v>24440.385731927174</v>
      </c>
      <c r="N326" s="252"/>
      <c r="O326" s="317">
        <f>O322*0.03</f>
        <v>23653.511348940927</v>
      </c>
      <c r="P326" s="252"/>
      <c r="Q326" s="317">
        <f>Q322*0.03</f>
        <v>23203.511348940927</v>
      </c>
      <c r="R326" s="252"/>
    </row>
    <row r="327" spans="1:25" ht="16.5" hidden="1" thickBot="1" x14ac:dyDescent="0.3">
      <c r="B327" s="290">
        <v>709</v>
      </c>
      <c r="C327" s="472">
        <f>C273</f>
        <v>1.5E-3</v>
      </c>
      <c r="D327" s="290" t="s">
        <v>467</v>
      </c>
      <c r="E327" s="317">
        <f>E322*0.0015</f>
        <v>1342.647077117975</v>
      </c>
      <c r="F327" s="252"/>
      <c r="G327" s="317">
        <f>G322*0.0015</f>
        <v>1317.4691807529171</v>
      </c>
      <c r="H327" s="252"/>
      <c r="I327" s="317">
        <f>I322*0.0015</f>
        <v>1298.8648238329231</v>
      </c>
      <c r="J327" s="252"/>
      <c r="K327" s="317">
        <f>K322*0.0015</f>
        <v>1256.9226343192495</v>
      </c>
      <c r="L327" s="252"/>
      <c r="M327" s="317">
        <f>M322*0.0015</f>
        <v>1222.0192865963588</v>
      </c>
      <c r="N327" s="252"/>
      <c r="O327" s="317">
        <f>O322*0.0015</f>
        <v>1182.6755674470464</v>
      </c>
      <c r="P327" s="252"/>
      <c r="Q327" s="317">
        <f>Q322*0.0015</f>
        <v>1160.1755674470464</v>
      </c>
      <c r="R327" s="252"/>
    </row>
    <row r="328" spans="1:25" ht="16.5" hidden="1" thickBot="1" x14ac:dyDescent="0.3">
      <c r="B328" s="290">
        <v>713</v>
      </c>
      <c r="C328" s="321">
        <v>7.0000000000000001E-3</v>
      </c>
      <c r="D328" s="290" t="s">
        <v>468</v>
      </c>
      <c r="E328" s="317">
        <f>E322*0.007</f>
        <v>6265.6863598838836</v>
      </c>
      <c r="F328" s="252"/>
      <c r="G328" s="317">
        <f>G322*0.007</f>
        <v>6148.1895101802793</v>
      </c>
      <c r="H328" s="252"/>
      <c r="I328" s="317">
        <f>I322*0.007</f>
        <v>6061.3691778869752</v>
      </c>
      <c r="J328" s="252"/>
      <c r="K328" s="317">
        <f>K322*0.007</f>
        <v>5865.6389601564979</v>
      </c>
      <c r="L328" s="252"/>
      <c r="M328" s="317">
        <f>M322*0.007</f>
        <v>5702.7566707830074</v>
      </c>
      <c r="N328" s="252"/>
      <c r="O328" s="317">
        <f>O322*0.007</f>
        <v>5519.1526480862167</v>
      </c>
      <c r="P328" s="252"/>
      <c r="Q328" s="317">
        <f>Q322*0.007</f>
        <v>5414.1526480862167</v>
      </c>
      <c r="R328" s="252"/>
    </row>
    <row r="329" spans="1:25" ht="16.5" hidden="1" thickBot="1" x14ac:dyDescent="0.3">
      <c r="B329" s="290">
        <v>787</v>
      </c>
      <c r="C329" s="319">
        <f>C246</f>
        <v>0</v>
      </c>
      <c r="D329" s="290" t="s">
        <v>469</v>
      </c>
      <c r="E329" s="317">
        <f>E322*0.01</f>
        <v>8950.980514119834</v>
      </c>
      <c r="F329" s="252"/>
      <c r="G329" s="317">
        <f>G322*0.01</f>
        <v>8783.1278716861125</v>
      </c>
      <c r="H329" s="252"/>
      <c r="I329" s="317">
        <f>I322*0.01</f>
        <v>8659.0988255528209</v>
      </c>
      <c r="J329" s="252"/>
      <c r="K329" s="317">
        <f>K322*0.01</f>
        <v>8379.4842287949959</v>
      </c>
      <c r="L329" s="252"/>
      <c r="M329" s="317">
        <f>M322*0.01</f>
        <v>8146.7952439757255</v>
      </c>
      <c r="N329" s="252"/>
      <c r="O329" s="317">
        <f>O322*0.01</f>
        <v>7884.5037829803096</v>
      </c>
      <c r="P329" s="252"/>
      <c r="Q329" s="317">
        <f>Q322*0.01</f>
        <v>7734.5037829803096</v>
      </c>
      <c r="R329" s="252"/>
    </row>
    <row r="330" spans="1:25" ht="16.5" hidden="1" thickBot="1" x14ac:dyDescent="0.3">
      <c r="B330" s="290"/>
      <c r="C330" s="349"/>
      <c r="D330" s="323" t="s">
        <v>479</v>
      </c>
      <c r="E330" s="324">
        <f>SUM(E325:E329)</f>
        <v>45650.000622011154</v>
      </c>
      <c r="F330" s="325"/>
      <c r="G330" s="324">
        <f>SUM(G325:G329)</f>
        <v>44793.952145599171</v>
      </c>
      <c r="H330" s="325"/>
      <c r="I330" s="324">
        <f>SUM(I325:I329)</f>
        <v>44161.404010319384</v>
      </c>
      <c r="J330" s="325"/>
      <c r="K330" s="324">
        <f>SUM(K325:K329)</f>
        <v>42735.369566854475</v>
      </c>
      <c r="L330" s="325"/>
      <c r="M330" s="324">
        <f>SUM(M325:M329)</f>
        <v>41548.655744276199</v>
      </c>
      <c r="N330" s="325"/>
      <c r="O330" s="324">
        <f>SUM(O325:O329)</f>
        <v>40210.969293199574</v>
      </c>
      <c r="P330" s="325"/>
      <c r="Q330" s="324">
        <f>SUM(Q325:Q329)</f>
        <v>39445.969293199574</v>
      </c>
      <c r="R330" s="325"/>
    </row>
    <row r="331" spans="1:25" ht="16.5" hidden="1" thickBot="1" x14ac:dyDescent="0.3">
      <c r="B331" s="290"/>
      <c r="C331" s="290"/>
      <c r="D331" s="290"/>
      <c r="E331" s="326"/>
      <c r="F331" s="252"/>
      <c r="G331" s="326"/>
      <c r="H331" s="252"/>
      <c r="I331" s="326"/>
      <c r="J331" s="252"/>
      <c r="K331" s="326"/>
      <c r="L331" s="252"/>
      <c r="M331" s="326"/>
      <c r="N331" s="252"/>
      <c r="O331" s="326"/>
      <c r="P331" s="252"/>
      <c r="Q331" s="326"/>
      <c r="R331" s="252"/>
    </row>
    <row r="332" spans="1:25" ht="21" hidden="1" thickBot="1" x14ac:dyDescent="0.35">
      <c r="B332" s="290"/>
      <c r="C332" s="290"/>
      <c r="D332" s="327" t="s">
        <v>472</v>
      </c>
      <c r="E332" s="358">
        <f>E322-E330</f>
        <v>849448.05078997219</v>
      </c>
      <c r="F332" s="359"/>
      <c r="G332" s="358">
        <f>G322-G330</f>
        <v>833518.83502301213</v>
      </c>
      <c r="H332" s="359"/>
      <c r="I332" s="358">
        <f>I322-I330</f>
        <v>821748.47854496271</v>
      </c>
      <c r="J332" s="359"/>
      <c r="K332" s="358">
        <f>K322-K330</f>
        <v>795213.05331264518</v>
      </c>
      <c r="L332" s="359"/>
      <c r="M332" s="358">
        <f>M322-M330</f>
        <v>773130.86865329626</v>
      </c>
      <c r="N332" s="359"/>
      <c r="O332" s="358">
        <f>O322-O330</f>
        <v>748239.40900483134</v>
      </c>
      <c r="P332" s="359"/>
      <c r="Q332" s="358">
        <f>Q322-Q330</f>
        <v>734004.40900483134</v>
      </c>
      <c r="R332" s="359"/>
    </row>
    <row r="333" spans="1:25" ht="15.75" hidden="1" x14ac:dyDescent="0.25">
      <c r="B333" s="132"/>
      <c r="C333" s="132"/>
      <c r="D333" s="114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5.75" x14ac:dyDescent="0.25">
      <c r="B334" s="132"/>
      <c r="C334" s="132"/>
      <c r="D334" s="397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1:25" ht="15.75" x14ac:dyDescent="0.25">
      <c r="A335" s="482"/>
      <c r="B335" s="483"/>
      <c r="C335" s="483"/>
      <c r="D335" s="484"/>
      <c r="E335" s="483"/>
      <c r="F335" s="483"/>
      <c r="G335" s="483"/>
      <c r="H335" s="483"/>
      <c r="I335" s="483"/>
      <c r="J335" s="483"/>
      <c r="K335" s="483"/>
      <c r="L335" s="483"/>
      <c r="M335" s="483"/>
      <c r="N335" s="483"/>
      <c r="O335" s="483"/>
      <c r="P335" s="483"/>
      <c r="Q335" s="483"/>
      <c r="R335" s="483"/>
      <c r="S335" s="483"/>
      <c r="T335" s="483"/>
      <c r="U335" s="483"/>
      <c r="V335" s="483"/>
      <c r="W335" s="483"/>
      <c r="X335" s="483"/>
    </row>
    <row r="336" spans="1:25" ht="20.25" x14ac:dyDescent="0.3">
      <c r="B336" s="122" t="s">
        <v>490</v>
      </c>
      <c r="C336" s="364"/>
      <c r="D336" s="361"/>
      <c r="E336" s="364"/>
      <c r="F336" s="364"/>
      <c r="G336" s="364"/>
      <c r="H336" s="364"/>
      <c r="I336" s="485">
        <v>0</v>
      </c>
      <c r="J336" s="486" t="s">
        <v>481</v>
      </c>
      <c r="K336" s="153" t="str">
        <f>numhorasmed&amp;" horas"</f>
        <v>36 horas</v>
      </c>
      <c r="L336" s="161">
        <f>porcantighorasmed</f>
        <v>1.2</v>
      </c>
    </row>
    <row r="337" spans="2:18" ht="15.75" x14ac:dyDescent="0.25">
      <c r="B337" s="169"/>
      <c r="C337" s="364"/>
      <c r="D337" s="361"/>
      <c r="E337" s="364"/>
      <c r="F337" s="364"/>
      <c r="G337" s="364"/>
      <c r="H337" s="364"/>
      <c r="I337" s="159">
        <v>45992</v>
      </c>
      <c r="J337" s="160">
        <f>Q347</f>
        <v>1729722.3007559543</v>
      </c>
      <c r="K337" s="162"/>
      <c r="L337" s="163"/>
    </row>
    <row r="338" spans="2:18" ht="18" x14ac:dyDescent="0.25">
      <c r="B338" s="169"/>
      <c r="C338" s="364"/>
      <c r="D338" s="361"/>
      <c r="E338" s="364"/>
      <c r="F338" s="364"/>
      <c r="G338" s="364"/>
      <c r="H338" s="364"/>
      <c r="I338" s="159">
        <v>46054</v>
      </c>
      <c r="J338" s="160">
        <f>O347</f>
        <v>1759722.3007559543</v>
      </c>
      <c r="K338" s="162">
        <f>J338-$J$337</f>
        <v>30000</v>
      </c>
      <c r="L338" s="163">
        <f t="shared" ref="L338:L339" si="205">K338/J$337</f>
        <v>1.7343824489566249E-2</v>
      </c>
      <c r="M338" s="574" t="s">
        <v>501</v>
      </c>
      <c r="N338" s="573"/>
      <c r="O338" s="573"/>
      <c r="P338" s="573"/>
    </row>
    <row r="339" spans="2:18" ht="16.5" thickBot="1" x14ac:dyDescent="0.3">
      <c r="B339" s="132"/>
      <c r="C339" s="132"/>
      <c r="D339" s="149"/>
      <c r="E339" s="132"/>
      <c r="F339" s="132"/>
      <c r="G339" s="132"/>
      <c r="H339" s="132"/>
      <c r="I339" s="159">
        <v>46143</v>
      </c>
      <c r="J339" s="160">
        <f>M347</f>
        <v>1818665.2686462589</v>
      </c>
      <c r="K339" s="162">
        <f>J339-$J$337</f>
        <v>88942.967890304513</v>
      </c>
      <c r="L339" s="163">
        <f t="shared" si="205"/>
        <v>5.1420374155685601E-2</v>
      </c>
    </row>
    <row r="340" spans="2:18" ht="16.5" thickBot="1" x14ac:dyDescent="0.3">
      <c r="B340" s="166" t="s">
        <v>482</v>
      </c>
      <c r="C340" s="167"/>
      <c r="D340" s="370">
        <v>36</v>
      </c>
      <c r="E340" s="373"/>
      <c r="F340" s="373"/>
      <c r="G340" s="373"/>
      <c r="H340" s="373"/>
      <c r="I340" s="159">
        <v>46204</v>
      </c>
      <c r="J340" s="160">
        <f>K347</f>
        <v>1870955.8439051465</v>
      </c>
      <c r="K340" s="162">
        <f>J340-$J$337</f>
        <v>141233.54314919212</v>
      </c>
      <c r="L340" s="163">
        <f t="shared" ref="L340" si="206">K340/J$337</f>
        <v>8.165099281397234E-2</v>
      </c>
      <c r="Q340" s="378"/>
    </row>
    <row r="341" spans="2:18" ht="16.5" thickBot="1" x14ac:dyDescent="0.3">
      <c r="B341" s="166" t="s">
        <v>435</v>
      </c>
      <c r="C341" s="167"/>
      <c r="D341" s="487">
        <v>1.2</v>
      </c>
      <c r="E341" s="488"/>
      <c r="F341" s="488"/>
      <c r="G341" s="488"/>
      <c r="H341" s="488"/>
      <c r="I341" s="159">
        <v>46266</v>
      </c>
      <c r="J341" s="160">
        <f>I347</f>
        <v>1933791.6851745765</v>
      </c>
      <c r="K341" s="162">
        <f t="shared" ref="K341:K343" si="207">J341-$J$337</f>
        <v>204069.38441862212</v>
      </c>
      <c r="L341" s="163">
        <f t="shared" ref="L341:L343" si="208">K341/J$337</f>
        <v>0.11797811956834693</v>
      </c>
      <c r="M341" s="488"/>
      <c r="N341" s="488"/>
      <c r="O341" s="488"/>
      <c r="P341" s="377"/>
      <c r="Q341" s="378"/>
    </row>
    <row r="342" spans="2:18" ht="16.5" thickBot="1" x14ac:dyDescent="0.3">
      <c r="B342" s="489" t="s">
        <v>433</v>
      </c>
      <c r="C342" s="152"/>
      <c r="D342" s="381">
        <v>0.82</v>
      </c>
      <c r="E342" s="158"/>
      <c r="F342" s="158"/>
      <c r="G342" s="158"/>
      <c r="H342" s="158"/>
      <c r="I342" s="159">
        <v>46327</v>
      </c>
      <c r="J342" s="160">
        <f>G347</f>
        <v>1961663.8690519447</v>
      </c>
      <c r="K342" s="162">
        <f t="shared" si="207"/>
        <v>231941.56829599035</v>
      </c>
      <c r="L342" s="163">
        <f t="shared" si="208"/>
        <v>0.13409179507868002</v>
      </c>
      <c r="M342" s="578"/>
      <c r="N342" s="578"/>
      <c r="O342" s="578"/>
      <c r="P342" s="377"/>
      <c r="Q342" s="378"/>
    </row>
    <row r="343" spans="2:18" ht="18" x14ac:dyDescent="0.25">
      <c r="B343" s="389" t="s">
        <v>483</v>
      </c>
      <c r="C343" s="157"/>
      <c r="D343" s="176">
        <v>1</v>
      </c>
      <c r="E343" s="390"/>
      <c r="F343" s="390"/>
      <c r="G343" s="390"/>
      <c r="H343" s="390"/>
      <c r="I343" s="159">
        <v>46357</v>
      </c>
      <c r="J343" s="160">
        <f>E347</f>
        <v>1999384.2245659833</v>
      </c>
      <c r="K343" s="162">
        <f t="shared" si="207"/>
        <v>269661.92381002894</v>
      </c>
      <c r="L343" s="163">
        <f t="shared" si="208"/>
        <v>0.15589896926933094</v>
      </c>
      <c r="M343" s="582"/>
      <c r="N343" s="582"/>
      <c r="O343" s="582"/>
      <c r="P343" s="377"/>
      <c r="Q343" s="378"/>
    </row>
    <row r="344" spans="2:18" ht="15.75" x14ac:dyDescent="0.25">
      <c r="B344" s="389"/>
      <c r="C344" s="157"/>
      <c r="D344" s="390"/>
      <c r="E344" s="390"/>
      <c r="F344" s="390"/>
      <c r="G344" s="390"/>
      <c r="H344" s="390"/>
      <c r="I344" s="159"/>
      <c r="J344" s="160"/>
      <c r="K344" s="162"/>
      <c r="L344" s="163"/>
      <c r="M344" s="582"/>
      <c r="N344" s="582"/>
      <c r="O344" s="582"/>
      <c r="P344" s="377"/>
      <c r="Q344" s="378"/>
    </row>
    <row r="345" spans="2:18" ht="14.25" customHeight="1" x14ac:dyDescent="0.25">
      <c r="B345" s="389"/>
      <c r="C345" s="157"/>
      <c r="D345" s="390"/>
      <c r="E345" s="390"/>
      <c r="F345" s="390"/>
      <c r="G345" s="390"/>
      <c r="H345" s="390"/>
      <c r="I345" s="176" t="s">
        <v>441</v>
      </c>
      <c r="J345" s="390"/>
      <c r="K345" s="390"/>
      <c r="L345" s="390"/>
      <c r="M345" s="390"/>
      <c r="N345" s="390"/>
      <c r="O345" s="390"/>
      <c r="P345" s="390"/>
      <c r="Q345" s="390"/>
    </row>
    <row r="346" spans="2:18" ht="21" customHeight="1" thickBot="1" x14ac:dyDescent="0.4">
      <c r="B346" s="389"/>
      <c r="C346" s="157"/>
      <c r="D346" s="640" t="s">
        <v>523</v>
      </c>
      <c r="E346" s="641">
        <f>E347-E350</f>
        <v>394291.88900688803</v>
      </c>
      <c r="F346" s="609"/>
      <c r="G346" s="641">
        <f>G347-G350</f>
        <v>386739.86840871396</v>
      </c>
      <c r="H346" s="609"/>
      <c r="I346" s="641">
        <f>I347-I350</f>
        <v>381159.55762188579</v>
      </c>
      <c r="J346" s="609"/>
      <c r="K346" s="641">
        <f>K347-K350</f>
        <v>368579.14683032432</v>
      </c>
      <c r="L346" s="609" t="s">
        <v>513</v>
      </c>
      <c r="M346" s="641">
        <f>M347-M350</f>
        <v>358110.01163623715</v>
      </c>
      <c r="N346" s="609" t="s">
        <v>521</v>
      </c>
      <c r="P346" s="609" t="s">
        <v>514</v>
      </c>
    </row>
    <row r="347" spans="2:18" ht="24.75" thickTop="1" thickBot="1" x14ac:dyDescent="0.35">
      <c r="B347" s="132"/>
      <c r="C347" s="164"/>
      <c r="D347" s="392" t="str">
        <f>D402</f>
        <v>Líquido</v>
      </c>
      <c r="E347" s="393">
        <f>E372</f>
        <v>1999384.2245659833</v>
      </c>
      <c r="F347" s="608"/>
      <c r="G347" s="393">
        <f>G372</f>
        <v>1961663.8690519447</v>
      </c>
      <c r="H347" s="608"/>
      <c r="I347" s="393">
        <f>I372</f>
        <v>1933791.6851745765</v>
      </c>
      <c r="J347" s="608"/>
      <c r="K347" s="393">
        <f>K372</f>
        <v>1870955.8439051465</v>
      </c>
      <c r="L347" s="608">
        <f>K347/1531473</f>
        <v>1.2216707992273754</v>
      </c>
      <c r="M347" s="393">
        <f>M372</f>
        <v>1818665.2686462589</v>
      </c>
      <c r="N347" s="608">
        <f>M347/1469768</f>
        <v>1.2373825451678488</v>
      </c>
      <c r="O347" s="393">
        <f>O372</f>
        <v>1759722.3007559543</v>
      </c>
      <c r="P347" s="180"/>
      <c r="Q347" s="393">
        <f>Q372</f>
        <v>1729722.3007559543</v>
      </c>
      <c r="R347" s="180"/>
    </row>
    <row r="348" spans="2:18" ht="24.75" thickTop="1" thickBot="1" x14ac:dyDescent="0.35">
      <c r="B348" s="132"/>
      <c r="C348" s="164"/>
      <c r="D348" s="181" t="s">
        <v>442</v>
      </c>
      <c r="E348" s="179">
        <f>E374</f>
        <v>1937127.6105122641</v>
      </c>
      <c r="F348" s="608"/>
      <c r="G348" s="179">
        <f>G374</f>
        <v>1900599.6793032004</v>
      </c>
      <c r="H348" s="608"/>
      <c r="I348" s="179">
        <f>I374</f>
        <v>1873608.5971290155</v>
      </c>
      <c r="J348" s="608"/>
      <c r="K348" s="179">
        <f>K374</f>
        <v>1812759.1365108846</v>
      </c>
      <c r="L348" s="608">
        <f>K348/1531473</f>
        <v>1.1836703203457617</v>
      </c>
      <c r="M348" s="179">
        <f>M374</f>
        <v>1762121.582598432</v>
      </c>
      <c r="N348" s="608">
        <f>M348/1469768</f>
        <v>1.1989113809787886</v>
      </c>
      <c r="O348" s="179">
        <f>O374</f>
        <v>1705041.9329765248</v>
      </c>
      <c r="P348" s="180"/>
      <c r="Q348" s="179">
        <f>Q374</f>
        <v>1675041.9329765248</v>
      </c>
      <c r="R348" s="180"/>
    </row>
    <row r="349" spans="2:18" ht="17.25" thickTop="1" thickBot="1" x14ac:dyDescent="0.3">
      <c r="B349" s="171" t="str">
        <f>B404</f>
        <v>Puntos básicos</v>
      </c>
      <c r="C349" s="394"/>
      <c r="D349" s="490">
        <f>D404</f>
        <v>3128.4</v>
      </c>
      <c r="E349" s="71"/>
      <c r="G349" s="71"/>
      <c r="I349" s="71"/>
      <c r="K349" s="71"/>
      <c r="M349" s="71"/>
      <c r="O349" s="71"/>
      <c r="P349" s="272"/>
      <c r="Q349" s="71"/>
      <c r="R349" s="272"/>
    </row>
    <row r="350" spans="2:18" ht="23.25" x14ac:dyDescent="0.35">
      <c r="B350" s="629" t="s">
        <v>522</v>
      </c>
      <c r="C350" s="639">
        <v>0.19</v>
      </c>
      <c r="D350" s="604" t="str">
        <f>"Con Desc. Reforma "&amp; descreformasup*100&amp;" %"</f>
        <v>Con Desc. Reforma 19 %</v>
      </c>
      <c r="E350" s="605">
        <f>E372-(E363-E362)*descreformasup</f>
        <v>1605092.3355590953</v>
      </c>
      <c r="F350" s="610">
        <f>E350/1531473</f>
        <v>1.0480709327288795</v>
      </c>
      <c r="G350" s="605">
        <f>G372-(G363-G362)*descreformasup</f>
        <v>1574924.0006432307</v>
      </c>
      <c r="H350" s="610">
        <f>G350/1531473</f>
        <v>1.0283720317911127</v>
      </c>
      <c r="I350" s="605">
        <f>I372-(I363-I362)*descreformasup</f>
        <v>1552632.1275526907</v>
      </c>
      <c r="J350" s="610">
        <f>I350/1531473</f>
        <v>1.0138161936597581</v>
      </c>
      <c r="K350" s="605">
        <f>K372-(K363-K362)*descreformasup</f>
        <v>1502376.6970748222</v>
      </c>
      <c r="L350" s="610">
        <f>K350/1531473</f>
        <v>0.98100109964382143</v>
      </c>
      <c r="M350" s="605">
        <f>M372-(M363-M362)*descreformasup</f>
        <v>1460555.2570100217</v>
      </c>
      <c r="N350" s="610">
        <f>M350/1469768</f>
        <v>0.99373183863713299</v>
      </c>
      <c r="O350" s="605"/>
      <c r="P350" s="603"/>
      <c r="Q350" s="132"/>
      <c r="R350" s="491"/>
    </row>
    <row r="351" spans="2:18" ht="23.25" x14ac:dyDescent="0.35">
      <c r="B351" s="599" t="s">
        <v>520</v>
      </c>
      <c r="C351" s="596"/>
      <c r="D351" s="606" t="s">
        <v>515</v>
      </c>
      <c r="E351" s="612">
        <f>0.82*E350/E347</f>
        <v>0.65829053714984032</v>
      </c>
      <c r="F351" s="607"/>
      <c r="G351" s="612">
        <f>0.82*G350/G347</f>
        <v>0.65833790431772077</v>
      </c>
      <c r="H351" s="607"/>
      <c r="I351" s="612">
        <f>0.82*I350/I347</f>
        <v>0.65837409187032969</v>
      </c>
      <c r="J351" s="607"/>
      <c r="K351" s="612">
        <f>0.82*K350/K347</f>
        <v>0.65845962939989688</v>
      </c>
      <c r="L351" s="607"/>
      <c r="M351" s="612">
        <f>0.82*M350/M347</f>
        <v>0.65853531784862418</v>
      </c>
      <c r="N351" s="607"/>
      <c r="O351" s="605"/>
      <c r="P351" s="603"/>
      <c r="Q351" s="132"/>
      <c r="R351" s="491"/>
    </row>
    <row r="352" spans="2:18" ht="23.25" x14ac:dyDescent="0.35">
      <c r="D352" s="397"/>
      <c r="E352" s="21">
        <v>46357</v>
      </c>
      <c r="F352" s="22" cm="1">
        <f t="array" ref="F352">aumentodiciembre26</f>
        <v>0.14231041977499981</v>
      </c>
      <c r="G352" s="21">
        <v>46327</v>
      </c>
      <c r="H352" s="22" cm="1">
        <f t="array" ref="H352">aumentonoviembre26</f>
        <v>0.11991217624999972</v>
      </c>
      <c r="I352" s="21">
        <v>46266</v>
      </c>
      <c r="J352" s="22">
        <f>aumentoseptiembre26</f>
        <v>0.10336174999999992</v>
      </c>
      <c r="K352" s="21">
        <v>46204</v>
      </c>
      <c r="L352" s="22">
        <f>aumentojulio26</f>
        <v>6.6049999999999942E-2</v>
      </c>
      <c r="M352" s="21">
        <v>46143</v>
      </c>
      <c r="N352" s="22">
        <v>3.5000000000000003E-2</v>
      </c>
      <c r="O352" s="21">
        <v>46054</v>
      </c>
      <c r="P352" s="22">
        <v>0</v>
      </c>
      <c r="Q352" s="21">
        <v>45992</v>
      </c>
      <c r="R352" s="22" t="e">
        <f>(1+Aumentoene25respdic24)*(1+Aumentodic25respene25)-1</f>
        <v>#NAME?</v>
      </c>
    </row>
    <row r="353" spans="2:18" ht="15.75" thickBot="1" x14ac:dyDescent="0.3">
      <c r="D353" s="69"/>
      <c r="E353">
        <f t="shared" ref="E353:F353" si="209">E407</f>
        <v>0</v>
      </c>
      <c r="F353" s="121"/>
      <c r="G353">
        <f t="shared" ref="G353:H353" si="210">G407</f>
        <v>0</v>
      </c>
      <c r="H353" s="121"/>
      <c r="I353">
        <f t="shared" ref="I353:K353" si="211">I407</f>
        <v>0</v>
      </c>
      <c r="J353" s="121"/>
      <c r="K353">
        <f t="shared" si="211"/>
        <v>0</v>
      </c>
      <c r="L353" s="121"/>
      <c r="M353">
        <f t="shared" ref="M353:O358" si="212">M407</f>
        <v>0</v>
      </c>
      <c r="N353" s="121"/>
      <c r="O353">
        <f t="shared" si="212"/>
        <v>0</v>
      </c>
      <c r="P353" s="121"/>
      <c r="Q353">
        <f t="shared" ref="Q353" si="213">Q407</f>
        <v>0</v>
      </c>
      <c r="R353" s="121"/>
    </row>
    <row r="354" spans="2:18" ht="16.5" thickBot="1" x14ac:dyDescent="0.3">
      <c r="B354" s="184">
        <f t="shared" ref="B354:M361" si="214">B408</f>
        <v>402</v>
      </c>
      <c r="C354" s="185">
        <f t="shared" si="214"/>
        <v>0</v>
      </c>
      <c r="D354" s="186" t="str">
        <f t="shared" si="214"/>
        <v>Sueldo básico</v>
      </c>
      <c r="E354" s="193">
        <f t="shared" ref="E354:F354" si="215">E408</f>
        <v>773695.31631962105</v>
      </c>
      <c r="F354" s="188"/>
      <c r="G354" s="193">
        <f t="shared" si="214"/>
        <v>758524.81992119714</v>
      </c>
      <c r="H354" s="188"/>
      <c r="I354" s="193">
        <f t="shared" ref="I354:J354" si="216">I408</f>
        <v>747315.09351842094</v>
      </c>
      <c r="J354" s="188"/>
      <c r="K354" s="193">
        <f t="shared" si="214"/>
        <v>722043.56861683191</v>
      </c>
      <c r="L354" s="188"/>
      <c r="M354" s="193">
        <f t="shared" si="212"/>
        <v>701013.17341439996</v>
      </c>
      <c r="N354" s="188"/>
      <c r="O354" s="193">
        <f t="shared" si="212"/>
        <v>677307.28347704245</v>
      </c>
      <c r="P354" s="188"/>
      <c r="Q354" s="193">
        <f t="shared" ref="Q354" si="217">Q408</f>
        <v>677307.28347704245</v>
      </c>
      <c r="R354" s="188"/>
    </row>
    <row r="355" spans="2:18" ht="16.5" thickBot="1" x14ac:dyDescent="0.3">
      <c r="B355" s="197">
        <f t="shared" si="214"/>
        <v>406</v>
      </c>
      <c r="C355" s="198">
        <f t="shared" si="214"/>
        <v>0</v>
      </c>
      <c r="D355" s="189" t="str">
        <f t="shared" si="214"/>
        <v>Antigüedad</v>
      </c>
      <c r="E355" s="190">
        <f t="shared" ref="E355:F355" si="218">E409</f>
        <v>953034.37958354526</v>
      </c>
      <c r="F355" s="188"/>
      <c r="G355" s="190">
        <f t="shared" si="214"/>
        <v>934829.78390543652</v>
      </c>
      <c r="H355" s="188"/>
      <c r="I355" s="190">
        <f t="shared" ref="I355:J355" si="219">I409</f>
        <v>921378.11222210515</v>
      </c>
      <c r="J355" s="188"/>
      <c r="K355" s="190">
        <f t="shared" si="214"/>
        <v>891052.28234019829</v>
      </c>
      <c r="L355" s="188"/>
      <c r="M355" s="190">
        <f t="shared" si="212"/>
        <v>865815.80809727998</v>
      </c>
      <c r="N355" s="188"/>
      <c r="O355" s="190">
        <f t="shared" si="212"/>
        <v>837368.7401724509</v>
      </c>
      <c r="P355" s="188"/>
      <c r="Q355" s="190">
        <f t="shared" ref="Q355" si="220">Q409</f>
        <v>837368.7401724509</v>
      </c>
      <c r="R355" s="188"/>
    </row>
    <row r="356" spans="2:18" ht="16.5" thickBot="1" x14ac:dyDescent="0.3">
      <c r="B356" s="197">
        <f t="shared" si="214"/>
        <v>432</v>
      </c>
      <c r="C356" s="198">
        <f t="shared" si="214"/>
        <v>0</v>
      </c>
      <c r="D356" s="189" t="str">
        <f t="shared" si="214"/>
        <v>Dto. 1109/05(cod06act)</v>
      </c>
      <c r="E356" s="190">
        <f t="shared" ref="E356:F356" si="221">E410</f>
        <v>67546.879504686352</v>
      </c>
      <c r="F356" s="188"/>
      <c r="G356" s="190">
        <f t="shared" si="214"/>
        <v>66222.430886947404</v>
      </c>
      <c r="H356" s="188"/>
      <c r="I356" s="190">
        <f t="shared" ref="I356:J356" si="222">I410</f>
        <v>65243.7742728546</v>
      </c>
      <c r="J356" s="188"/>
      <c r="K356" s="190">
        <f t="shared" si="214"/>
        <v>63037.463065559998</v>
      </c>
      <c r="L356" s="188"/>
      <c r="M356" s="190">
        <f t="shared" si="212"/>
        <v>61201.420451999998</v>
      </c>
      <c r="N356" s="188"/>
      <c r="O356" s="190">
        <f t="shared" si="212"/>
        <v>59131.807200000003</v>
      </c>
      <c r="P356" s="188"/>
      <c r="Q356" s="190">
        <f t="shared" ref="Q356" si="223">Q410</f>
        <v>59131.807200000003</v>
      </c>
      <c r="R356" s="188"/>
    </row>
    <row r="357" spans="2:18" ht="16.5" thickBot="1" x14ac:dyDescent="0.3">
      <c r="B357" s="197">
        <f t="shared" si="214"/>
        <v>434</v>
      </c>
      <c r="C357" s="198">
        <f t="shared" si="214"/>
        <v>0</v>
      </c>
      <c r="D357" s="189" t="str">
        <f t="shared" si="214"/>
        <v>Traslado cod 188</v>
      </c>
      <c r="E357" s="190">
        <f t="shared" ref="E357:F357" si="224">E411</f>
        <v>123376.44369985524</v>
      </c>
      <c r="F357" s="188"/>
      <c r="G357" s="190">
        <f t="shared" si="214"/>
        <v>121016.10460770121</v>
      </c>
      <c r="H357" s="188"/>
      <c r="I357" s="190">
        <f t="shared" ref="I357:J357" si="225">I411</f>
        <v>119272.01168246429</v>
      </c>
      <c r="J357" s="188"/>
      <c r="K357" s="190">
        <f t="shared" si="214"/>
        <v>115340.07916180124</v>
      </c>
      <c r="L357" s="188"/>
      <c r="M357" s="190">
        <f t="shared" si="212"/>
        <v>112068.01326388473</v>
      </c>
      <c r="N357" s="188"/>
      <c r="O357" s="190">
        <f t="shared" si="212"/>
        <v>108379.6751314913</v>
      </c>
      <c r="P357" s="188"/>
      <c r="Q357" s="190">
        <f t="shared" ref="Q357" si="226">Q411</f>
        <v>108379.6751314913</v>
      </c>
      <c r="R357" s="188"/>
    </row>
    <row r="358" spans="2:18" ht="16.5" thickBot="1" x14ac:dyDescent="0.3">
      <c r="B358" s="197">
        <f t="shared" si="214"/>
        <v>437</v>
      </c>
      <c r="C358" s="201">
        <f t="shared" si="214"/>
        <v>0</v>
      </c>
      <c r="D358" s="202" t="str">
        <f t="shared" si="214"/>
        <v>DTO. N1462/18 DOCENT</v>
      </c>
      <c r="E358" s="492">
        <f t="shared" ref="E358:F358" si="227">E412</f>
        <v>40508.292259143505</v>
      </c>
      <c r="F358" s="188"/>
      <c r="G358" s="492">
        <f t="shared" si="214"/>
        <v>39714.012018768139</v>
      </c>
      <c r="H358" s="188"/>
      <c r="I358" s="492">
        <f t="shared" ref="I358:J358" si="228">I412</f>
        <v>39127.105437209997</v>
      </c>
      <c r="J358" s="188"/>
      <c r="K358" s="492">
        <f t="shared" si="214"/>
        <v>37803.966606000002</v>
      </c>
      <c r="L358" s="188"/>
      <c r="M358" s="492">
        <f t="shared" si="212"/>
        <v>36702.8802</v>
      </c>
      <c r="N358" s="188"/>
      <c r="O358" s="492">
        <f t="shared" si="212"/>
        <v>35461.72</v>
      </c>
      <c r="P358" s="188"/>
      <c r="Q358" s="492">
        <f t="shared" ref="Q358" si="229">Q412</f>
        <v>35461.72</v>
      </c>
      <c r="R358" s="188"/>
    </row>
    <row r="359" spans="2:18" ht="16.5" thickBot="1" x14ac:dyDescent="0.3">
      <c r="B359" s="197">
        <f t="shared" si="214"/>
        <v>0</v>
      </c>
      <c r="C359" s="201">
        <f t="shared" si="214"/>
        <v>0</v>
      </c>
      <c r="D359" s="221" t="str">
        <f t="shared" si="214"/>
        <v>Otros</v>
      </c>
      <c r="E359" s="493">
        <v>0</v>
      </c>
      <c r="F359" s="188"/>
      <c r="G359" s="493">
        <v>0</v>
      </c>
      <c r="H359" s="188"/>
      <c r="I359" s="493">
        <v>0</v>
      </c>
      <c r="J359" s="188"/>
      <c r="K359" s="493">
        <v>0</v>
      </c>
      <c r="L359" s="188"/>
      <c r="M359" s="493">
        <v>0</v>
      </c>
      <c r="N359" s="188"/>
      <c r="O359" s="493">
        <v>0</v>
      </c>
      <c r="P359" s="188"/>
      <c r="Q359" s="493">
        <v>0</v>
      </c>
      <c r="R359" s="188"/>
    </row>
    <row r="360" spans="2:18" ht="21" thickBot="1" x14ac:dyDescent="0.35">
      <c r="B360" s="410">
        <f t="shared" si="214"/>
        <v>1584</v>
      </c>
      <c r="C360" s="411">
        <v>15</v>
      </c>
      <c r="D360" s="406" t="str">
        <f t="shared" si="214"/>
        <v>Adic Dec 173/21 (cod 38 activos)</v>
      </c>
      <c r="E360" s="404">
        <f t="shared" ref="E360:F360" si="230">E414</f>
        <v>96559.157090454799</v>
      </c>
      <c r="F360" s="188"/>
      <c r="G360" s="404">
        <f t="shared" si="214"/>
        <v>94665.840284759601</v>
      </c>
      <c r="H360" s="188"/>
      <c r="I360" s="404">
        <f t="shared" ref="I360:K360" si="231">I414</f>
        <v>93266.837718974988</v>
      </c>
      <c r="J360" s="188"/>
      <c r="K360" s="404">
        <f t="shared" si="231"/>
        <v>90112.88668499999</v>
      </c>
      <c r="L360" s="188"/>
      <c r="M360" s="404">
        <f t="shared" si="214"/>
        <v>87488.239499999996</v>
      </c>
      <c r="N360" s="188"/>
      <c r="O360" s="404">
        <f t="shared" ref="O360" si="232">O414</f>
        <v>84529.7</v>
      </c>
      <c r="P360" s="188"/>
      <c r="Q360" s="404">
        <f t="shared" ref="Q360" si="233">Q414</f>
        <v>84529.7</v>
      </c>
      <c r="R360" s="188"/>
    </row>
    <row r="361" spans="2:18" ht="18.75" thickBot="1" x14ac:dyDescent="0.3">
      <c r="B361" s="204">
        <v>1622</v>
      </c>
      <c r="C361" s="412">
        <v>1</v>
      </c>
      <c r="D361" s="308" t="s">
        <v>443</v>
      </c>
      <c r="E361" s="309">
        <f t="shared" ref="E361:F361" si="234">E415</f>
        <v>20500</v>
      </c>
      <c r="F361" s="310"/>
      <c r="G361" s="309">
        <f t="shared" ref="G361:H361" si="235">G415</f>
        <v>20500</v>
      </c>
      <c r="H361" s="310"/>
      <c r="I361" s="309">
        <f t="shared" ref="I361:K361" si="236">I415</f>
        <v>20500</v>
      </c>
      <c r="J361" s="310"/>
      <c r="K361" s="309">
        <f t="shared" si="236"/>
        <v>20500</v>
      </c>
      <c r="L361" s="310"/>
      <c r="M361" s="309">
        <f t="shared" si="214"/>
        <v>20500</v>
      </c>
      <c r="N361" s="310"/>
      <c r="O361" s="309">
        <f t="shared" ref="O361" si="237">O415</f>
        <v>20500</v>
      </c>
      <c r="P361" s="310"/>
      <c r="Q361" s="309">
        <f t="shared" ref="Q361" si="238">Q415</f>
        <v>20500</v>
      </c>
      <c r="R361" s="310"/>
    </row>
    <row r="362" spans="2:18" ht="20.25" x14ac:dyDescent="0.3">
      <c r="B362" s="568">
        <v>1650</v>
      </c>
      <c r="C362" s="567">
        <v>1</v>
      </c>
      <c r="D362" s="569" t="s">
        <v>500</v>
      </c>
      <c r="E362" s="570">
        <f t="shared" ref="E362:F362" si="239">E416</f>
        <v>30000</v>
      </c>
      <c r="F362" s="571"/>
      <c r="G362" s="570">
        <f t="shared" ref="G362:H362" si="240">G416</f>
        <v>30000</v>
      </c>
      <c r="H362" s="571"/>
      <c r="I362" s="570">
        <f t="shared" ref="I362:J362" si="241">I416</f>
        <v>30000</v>
      </c>
      <c r="J362" s="571"/>
      <c r="K362" s="570">
        <f t="shared" ref="K362:M368" si="242">K416</f>
        <v>30000</v>
      </c>
      <c r="L362" s="571"/>
      <c r="M362" s="570">
        <f t="shared" si="242"/>
        <v>30000</v>
      </c>
      <c r="N362" s="571"/>
      <c r="O362" s="570">
        <f t="shared" ref="O362:O368" si="243">O416</f>
        <v>30000</v>
      </c>
      <c r="P362" s="571"/>
      <c r="Q362" s="570">
        <f t="shared" ref="Q362:Q368" si="244">Q416</f>
        <v>0</v>
      </c>
      <c r="R362" s="571"/>
    </row>
    <row r="363" spans="2:18" ht="18" x14ac:dyDescent="0.25">
      <c r="B363" s="131">
        <f t="shared" ref="B363:I368" si="245">B417</f>
        <v>0</v>
      </c>
      <c r="C363" s="494">
        <f t="shared" si="245"/>
        <v>0</v>
      </c>
      <c r="D363" s="211" t="str">
        <f t="shared" si="245"/>
        <v>Haberes</v>
      </c>
      <c r="E363" s="495">
        <f t="shared" si="245"/>
        <v>2105220.4684573058</v>
      </c>
      <c r="F363" s="496"/>
      <c r="G363" s="495">
        <f t="shared" ref="G363:H363" si="246">G417</f>
        <v>2065472.99162481</v>
      </c>
      <c r="H363" s="496"/>
      <c r="I363" s="495">
        <f t="shared" si="245"/>
        <v>2036102.9348520301</v>
      </c>
      <c r="J363" s="496"/>
      <c r="K363" s="495">
        <f t="shared" si="242"/>
        <v>1969890.2464753913</v>
      </c>
      <c r="L363" s="496"/>
      <c r="M363" s="495">
        <f t="shared" si="242"/>
        <v>1914789.5349275647</v>
      </c>
      <c r="N363" s="496"/>
      <c r="O363" s="495">
        <f t="shared" si="243"/>
        <v>1852678.9259809845</v>
      </c>
      <c r="P363" s="496"/>
      <c r="Q363" s="495">
        <f t="shared" si="244"/>
        <v>1822678.9259809845</v>
      </c>
      <c r="R363" s="496"/>
    </row>
    <row r="364" spans="2:18" ht="15.75" x14ac:dyDescent="0.25">
      <c r="B364" s="197">
        <f t="shared" si="245"/>
        <v>703</v>
      </c>
      <c r="C364" s="497">
        <f t="shared" si="245"/>
        <v>2.5000000000000001E-3</v>
      </c>
      <c r="D364" s="498" t="str">
        <f t="shared" si="245"/>
        <v>Federació de  jubil</v>
      </c>
      <c r="E364" s="499">
        <f t="shared" si="245"/>
        <v>5188.0511711432646</v>
      </c>
      <c r="F364" s="500"/>
      <c r="G364" s="499">
        <f t="shared" ref="G364:H364" si="247">G418</f>
        <v>5088.6824790620249</v>
      </c>
      <c r="H364" s="500"/>
      <c r="I364" s="499">
        <f t="shared" si="245"/>
        <v>5015.257337130075</v>
      </c>
      <c r="J364" s="500"/>
      <c r="K364" s="499">
        <f t="shared" si="242"/>
        <v>4849.7256161884789</v>
      </c>
      <c r="L364" s="500"/>
      <c r="M364" s="499">
        <f t="shared" si="242"/>
        <v>4711.973837318912</v>
      </c>
      <c r="N364" s="500"/>
      <c r="O364" s="499">
        <f t="shared" si="243"/>
        <v>4556.6973149524611</v>
      </c>
      <c r="P364" s="500"/>
      <c r="Q364" s="499">
        <f t="shared" si="244"/>
        <v>4556.6973149524611</v>
      </c>
      <c r="R364" s="500"/>
    </row>
    <row r="365" spans="2:18" ht="15.75" x14ac:dyDescent="0.25">
      <c r="B365" s="197">
        <f t="shared" si="245"/>
        <v>707</v>
      </c>
      <c r="C365" s="217">
        <f t="shared" si="245"/>
        <v>0.03</v>
      </c>
      <c r="D365" s="189" t="str">
        <f t="shared" si="245"/>
        <v>Aporte IOSPER</v>
      </c>
      <c r="E365" s="218">
        <f t="shared" si="245"/>
        <v>62256.614053719175</v>
      </c>
      <c r="F365" s="191"/>
      <c r="G365" s="218">
        <f t="shared" ref="G365:H365" si="248">G419</f>
        <v>61064.189748744298</v>
      </c>
      <c r="H365" s="191"/>
      <c r="I365" s="218">
        <f t="shared" si="245"/>
        <v>60183.0880455609</v>
      </c>
      <c r="J365" s="191"/>
      <c r="K365" s="218">
        <f t="shared" si="242"/>
        <v>58196.707394261735</v>
      </c>
      <c r="L365" s="191"/>
      <c r="M365" s="218">
        <f t="shared" si="242"/>
        <v>56543.686047826937</v>
      </c>
      <c r="N365" s="191"/>
      <c r="O365" s="218">
        <f t="shared" si="243"/>
        <v>54680.367779429529</v>
      </c>
      <c r="P365" s="191"/>
      <c r="Q365" s="218">
        <f t="shared" si="244"/>
        <v>54680.367779429529</v>
      </c>
      <c r="R365" s="191"/>
    </row>
    <row r="366" spans="2:18" ht="15.75" x14ac:dyDescent="0.25">
      <c r="B366" s="197">
        <f>B420</f>
        <v>709</v>
      </c>
      <c r="C366" s="219">
        <v>1.5E-3</v>
      </c>
      <c r="D366" s="189" t="str">
        <f t="shared" si="245"/>
        <v>Seguro ley 3011</v>
      </c>
      <c r="E366" s="218">
        <f t="shared" si="245"/>
        <v>3112.8307026859588</v>
      </c>
      <c r="F366" s="191"/>
      <c r="G366" s="218">
        <f t="shared" ref="G366:H366" si="249">G420</f>
        <v>3053.2094874372151</v>
      </c>
      <c r="H366" s="191"/>
      <c r="I366" s="218">
        <f t="shared" si="245"/>
        <v>3009.1544022780454</v>
      </c>
      <c r="J366" s="191"/>
      <c r="K366" s="218">
        <f t="shared" si="242"/>
        <v>2909.8353697130869</v>
      </c>
      <c r="L366" s="191"/>
      <c r="M366" s="218">
        <f t="shared" si="242"/>
        <v>2827.184302391347</v>
      </c>
      <c r="N366" s="191"/>
      <c r="O366" s="218">
        <f t="shared" si="243"/>
        <v>2734.0183889714767</v>
      </c>
      <c r="P366" s="191"/>
      <c r="Q366" s="218">
        <f t="shared" si="244"/>
        <v>2734.0183889714767</v>
      </c>
      <c r="R366" s="191"/>
    </row>
    <row r="367" spans="2:18" ht="15.75" x14ac:dyDescent="0.25">
      <c r="B367" s="197">
        <f>B421</f>
        <v>713</v>
      </c>
      <c r="C367" s="220">
        <f>C421</f>
        <v>7.0000000000000001E-3</v>
      </c>
      <c r="D367" s="189" t="str">
        <f t="shared" si="245"/>
        <v>Serv Sepelio IAPS</v>
      </c>
      <c r="E367" s="218">
        <f t="shared" si="245"/>
        <v>14526.543279201142</v>
      </c>
      <c r="F367" s="191"/>
      <c r="G367" s="218">
        <f t="shared" ref="G367:H367" si="250">G421</f>
        <v>14248.310941373671</v>
      </c>
      <c r="H367" s="191"/>
      <c r="I367" s="218">
        <f t="shared" si="245"/>
        <v>14042.720543964211</v>
      </c>
      <c r="J367" s="191"/>
      <c r="K367" s="218">
        <f t="shared" si="242"/>
        <v>13579.23172532774</v>
      </c>
      <c r="L367" s="191"/>
      <c r="M367" s="218">
        <f t="shared" si="242"/>
        <v>13193.526744492952</v>
      </c>
      <c r="N367" s="191"/>
      <c r="O367" s="218">
        <f t="shared" si="243"/>
        <v>12758.752481866892</v>
      </c>
      <c r="P367" s="191"/>
      <c r="Q367" s="218">
        <f t="shared" si="244"/>
        <v>12758.752481866892</v>
      </c>
      <c r="R367" s="191"/>
    </row>
    <row r="368" spans="2:18" ht="18" x14ac:dyDescent="0.25">
      <c r="B368" s="197">
        <f>B422</f>
        <v>787</v>
      </c>
      <c r="C368" s="586">
        <v>0.01</v>
      </c>
      <c r="D368" s="189" t="str">
        <f t="shared" si="245"/>
        <v>Desc AGMER 1 %</v>
      </c>
      <c r="E368" s="218">
        <f t="shared" si="245"/>
        <v>20752.204684573058</v>
      </c>
      <c r="F368" s="191"/>
      <c r="G368" s="218">
        <f t="shared" ref="G368:H368" si="251">G422</f>
        <v>20354.729916248099</v>
      </c>
      <c r="H368" s="191"/>
      <c r="I368" s="218">
        <f t="shared" si="245"/>
        <v>20061.0293485203</v>
      </c>
      <c r="J368" s="191"/>
      <c r="K368" s="218">
        <f t="shared" si="242"/>
        <v>19398.902464753915</v>
      </c>
      <c r="L368" s="191"/>
      <c r="M368" s="218">
        <f t="shared" si="242"/>
        <v>18847.895349275648</v>
      </c>
      <c r="N368" s="191"/>
      <c r="O368" s="218">
        <f t="shared" si="243"/>
        <v>18226.789259809844</v>
      </c>
      <c r="P368" s="191"/>
      <c r="Q368" s="218">
        <f t="shared" si="244"/>
        <v>18226.789259809844</v>
      </c>
      <c r="R368" s="191"/>
    </row>
    <row r="369" spans="2:18" ht="15.75" x14ac:dyDescent="0.25">
      <c r="B369" s="501"/>
      <c r="C369" s="502"/>
      <c r="D369" s="503" t="str">
        <f>D423</f>
        <v>Otros descuentos</v>
      </c>
      <c r="E369" s="504">
        <v>0</v>
      </c>
      <c r="F369" s="223"/>
      <c r="G369" s="504">
        <v>0</v>
      </c>
      <c r="H369" s="223"/>
      <c r="I369" s="504">
        <v>0</v>
      </c>
      <c r="J369" s="223"/>
      <c r="K369" s="504">
        <v>0</v>
      </c>
      <c r="L369" s="223"/>
      <c r="M369" s="504">
        <v>0</v>
      </c>
      <c r="N369" s="223"/>
      <c r="O369" s="504">
        <v>0</v>
      </c>
      <c r="P369" s="223"/>
      <c r="Q369" s="504">
        <v>0</v>
      </c>
      <c r="R369" s="223"/>
    </row>
    <row r="370" spans="2:18" ht="15.75" x14ac:dyDescent="0.25">
      <c r="B370" s="132"/>
      <c r="C370" s="132"/>
      <c r="D370" s="125" t="str">
        <f>D424</f>
        <v>Descuentos</v>
      </c>
      <c r="E370" s="505">
        <f>E424</f>
        <v>105836.24389132261</v>
      </c>
      <c r="F370" s="456"/>
      <c r="G370" s="505">
        <f>G424</f>
        <v>103809.12257286531</v>
      </c>
      <c r="H370" s="456"/>
      <c r="I370" s="505">
        <f>I424</f>
        <v>102311.24967745354</v>
      </c>
      <c r="J370" s="456"/>
      <c r="K370" s="505">
        <f>K424</f>
        <v>98934.402570244958</v>
      </c>
      <c r="L370" s="456"/>
      <c r="M370" s="505">
        <f>M424</f>
        <v>96124.266281305783</v>
      </c>
      <c r="N370" s="456"/>
      <c r="O370" s="505">
        <f>O424</f>
        <v>92956.625225030206</v>
      </c>
      <c r="P370" s="456"/>
      <c r="Q370" s="505">
        <f>Q424</f>
        <v>92956.625225030206</v>
      </c>
      <c r="R370" s="456"/>
    </row>
    <row r="371" spans="2:18" ht="15.75" x14ac:dyDescent="0.25">
      <c r="B371" s="20"/>
      <c r="C371" s="20"/>
      <c r="D371" s="506"/>
      <c r="E371" s="457"/>
      <c r="F371" s="210"/>
      <c r="G371" s="457"/>
      <c r="H371" s="210"/>
      <c r="I371" s="457"/>
      <c r="J371" s="210"/>
      <c r="K371" s="457"/>
      <c r="L371" s="210"/>
      <c r="M371" s="457"/>
      <c r="N371" s="210"/>
      <c r="O371" s="457"/>
      <c r="P371" s="210"/>
      <c r="Q371" s="457"/>
      <c r="R371" s="210"/>
    </row>
    <row r="372" spans="2:18" ht="24" thickBot="1" x14ac:dyDescent="0.4">
      <c r="B372" s="231"/>
      <c r="C372" s="232"/>
      <c r="D372" s="507" t="str">
        <f t="shared" ref="D372:M374" si="252">D426</f>
        <v>Líquido</v>
      </c>
      <c r="E372" s="508">
        <f t="shared" ref="E372:F372" si="253">E426</f>
        <v>1999384.2245659833</v>
      </c>
      <c r="F372" s="509"/>
      <c r="G372" s="508">
        <f t="shared" si="252"/>
        <v>1961663.8690519447</v>
      </c>
      <c r="H372" s="509"/>
      <c r="I372" s="508">
        <f t="shared" ref="I372:K372" si="254">I426</f>
        <v>1933791.6851745765</v>
      </c>
      <c r="J372" s="509"/>
      <c r="K372" s="508">
        <f t="shared" si="254"/>
        <v>1870955.8439051465</v>
      </c>
      <c r="L372" s="509"/>
      <c r="M372" s="508">
        <f t="shared" si="252"/>
        <v>1818665.2686462589</v>
      </c>
      <c r="N372" s="509"/>
      <c r="O372" s="508">
        <f>O426</f>
        <v>1759722.3007559543</v>
      </c>
      <c r="P372" s="509"/>
      <c r="Q372" s="508">
        <f>Q426</f>
        <v>1729722.3007559543</v>
      </c>
      <c r="R372" s="509"/>
    </row>
    <row r="373" spans="2:18" ht="18" x14ac:dyDescent="0.25">
      <c r="B373" s="231"/>
      <c r="C373" s="231"/>
      <c r="D373" s="510" t="str">
        <f t="shared" si="252"/>
        <v>Aporte Jubilatorio 3%</v>
      </c>
      <c r="E373" s="511">
        <f t="shared" ref="E373:F373" si="255">E427</f>
        <v>62256.614053719175</v>
      </c>
      <c r="F373" s="512"/>
      <c r="G373" s="511">
        <f t="shared" si="252"/>
        <v>61064.189748744298</v>
      </c>
      <c r="H373" s="512"/>
      <c r="I373" s="511">
        <f t="shared" ref="I373:K373" si="256">I427</f>
        <v>60183.0880455609</v>
      </c>
      <c r="J373" s="512"/>
      <c r="K373" s="511">
        <f t="shared" si="256"/>
        <v>58196.707394261735</v>
      </c>
      <c r="L373" s="512"/>
      <c r="M373" s="511">
        <f t="shared" si="252"/>
        <v>56543.686047826937</v>
      </c>
      <c r="N373" s="512"/>
      <c r="O373" s="511">
        <f>O427</f>
        <v>54680.367779429529</v>
      </c>
      <c r="P373" s="512"/>
      <c r="Q373" s="511">
        <f>Q427</f>
        <v>54680.367779429529</v>
      </c>
      <c r="R373" s="512"/>
    </row>
    <row r="374" spans="2:18" ht="23.25" x14ac:dyDescent="0.35">
      <c r="B374" s="231"/>
      <c r="C374" s="231"/>
      <c r="D374" s="513" t="str">
        <f t="shared" si="252"/>
        <v>Líquido menores 57-62</v>
      </c>
      <c r="E374" s="514">
        <f t="shared" ref="E374:F374" si="257">E428</f>
        <v>1937127.6105122641</v>
      </c>
      <c r="F374" s="515"/>
      <c r="G374" s="514">
        <f t="shared" si="252"/>
        <v>1900599.6793032004</v>
      </c>
      <c r="H374" s="515"/>
      <c r="I374" s="514">
        <f t="shared" ref="I374:K374" si="258">I428</f>
        <v>1873608.5971290155</v>
      </c>
      <c r="J374" s="515"/>
      <c r="K374" s="514">
        <f t="shared" si="258"/>
        <v>1812759.1365108846</v>
      </c>
      <c r="L374" s="515"/>
      <c r="M374" s="514">
        <f t="shared" si="252"/>
        <v>1762121.582598432</v>
      </c>
      <c r="N374" s="515"/>
      <c r="O374" s="514">
        <f>O428</f>
        <v>1705041.9329765248</v>
      </c>
      <c r="P374" s="515"/>
      <c r="Q374" s="514">
        <f>Q428</f>
        <v>1675041.9329765248</v>
      </c>
      <c r="R374" s="515"/>
    </row>
    <row r="375" spans="2:18" ht="16.5" thickBot="1" x14ac:dyDescent="0.3">
      <c r="B375" s="231"/>
      <c r="C375" s="231"/>
      <c r="D375" s="236"/>
      <c r="E375" s="516"/>
      <c r="F375" s="517"/>
      <c r="G375" s="516"/>
      <c r="H375" s="517"/>
      <c r="I375" s="516"/>
      <c r="J375" s="517"/>
      <c r="K375" s="516"/>
      <c r="L375" s="517"/>
      <c r="M375" s="516"/>
      <c r="N375" s="517"/>
      <c r="O375" s="516"/>
      <c r="P375" s="517"/>
      <c r="Q375" s="516"/>
      <c r="R375" s="517"/>
    </row>
    <row r="376" spans="2:18" ht="18.75" thickTop="1" x14ac:dyDescent="0.25">
      <c r="B376" s="132"/>
      <c r="C376" s="132"/>
      <c r="D376" s="241" t="str">
        <f>D430</f>
        <v>Aumento mensual</v>
      </c>
      <c r="E376" s="518">
        <f>E430</f>
        <v>37720.355514038587</v>
      </c>
      <c r="F376" s="519"/>
      <c r="G376" s="518">
        <f>G430</f>
        <v>27872.183877368225</v>
      </c>
      <c r="H376" s="519"/>
      <c r="I376" s="518">
        <f>I430</f>
        <v>62835.841269430006</v>
      </c>
      <c r="J376" s="519"/>
      <c r="K376" s="518">
        <f>K430</f>
        <v>52290.575258887606</v>
      </c>
      <c r="L376" s="519"/>
      <c r="M376" s="518">
        <f>M430</f>
        <v>58942.967890304513</v>
      </c>
      <c r="N376" s="519"/>
      <c r="O376" s="518">
        <f>O430</f>
        <v>30000</v>
      </c>
      <c r="P376" s="519"/>
      <c r="Q376" s="518"/>
      <c r="R376" s="519"/>
    </row>
    <row r="377" spans="2:18" ht="18.75" thickBot="1" x14ac:dyDescent="0.3">
      <c r="B377" s="132"/>
      <c r="C377" s="132"/>
      <c r="D377" s="245" t="str">
        <f>D431</f>
        <v>Aum porcentual</v>
      </c>
      <c r="E377" s="520">
        <f>E431</f>
        <v>1.9228755807318056E-2</v>
      </c>
      <c r="F377" s="521"/>
      <c r="G377" s="520">
        <f>G431</f>
        <v>1.4413229765672518E-2</v>
      </c>
      <c r="H377" s="521"/>
      <c r="I377" s="520">
        <f>I431</f>
        <v>3.358488735804481E-2</v>
      </c>
      <c r="J377" s="521"/>
      <c r="K377" s="520">
        <f>K431</f>
        <v>2.8752171254587493E-2</v>
      </c>
      <c r="L377" s="521"/>
      <c r="M377" s="520">
        <f>M431</f>
        <v>3.3495607724572996E-2</v>
      </c>
      <c r="N377" s="521"/>
      <c r="O377" s="520">
        <f>O431</f>
        <v>1.7343824489566249E-2</v>
      </c>
      <c r="P377" s="521"/>
      <c r="Q377" s="520"/>
      <c r="R377" s="521"/>
    </row>
    <row r="378" spans="2:18" ht="17.25" thickTop="1" thickBot="1" x14ac:dyDescent="0.3">
      <c r="B378" s="132"/>
      <c r="C378" s="132"/>
      <c r="D378" s="258"/>
      <c r="E378" s="259"/>
      <c r="F378" s="522"/>
      <c r="G378" s="259"/>
      <c r="H378" s="522"/>
      <c r="I378" s="259"/>
      <c r="J378" s="522"/>
      <c r="K378" s="259"/>
      <c r="L378" s="522"/>
      <c r="M378" s="259"/>
      <c r="N378" s="522"/>
      <c r="O378" s="259"/>
      <c r="P378" s="522"/>
      <c r="Q378" s="259"/>
      <c r="R378" s="522"/>
    </row>
    <row r="379" spans="2:18" ht="18.75" thickBot="1" x14ac:dyDescent="0.3">
      <c r="B379" s="132"/>
      <c r="C379" s="132"/>
      <c r="D379" s="250" t="s">
        <v>446</v>
      </c>
      <c r="E379" s="341">
        <f>E433</f>
        <v>36527.931209063623</v>
      </c>
      <c r="F379" s="479"/>
      <c r="G379" s="341">
        <f>G433</f>
        <v>26991.082174184965</v>
      </c>
      <c r="H379" s="479"/>
      <c r="I379" s="341">
        <f>I433</f>
        <v>60849.460618130863</v>
      </c>
      <c r="J379" s="479"/>
      <c r="K379" s="341">
        <f>K433</f>
        <v>50637.553912452655</v>
      </c>
      <c r="L379" s="479"/>
      <c r="M379" s="341">
        <f>M433</f>
        <v>57079.649621907156</v>
      </c>
      <c r="N379" s="479"/>
      <c r="O379" s="341">
        <f>O433</f>
        <v>30000</v>
      </c>
      <c r="P379" s="479"/>
      <c r="Q379" s="341"/>
      <c r="R379" s="479"/>
    </row>
    <row r="380" spans="2:18" ht="18.75" thickBot="1" x14ac:dyDescent="0.3">
      <c r="B380" s="132"/>
      <c r="C380" s="132"/>
      <c r="D380" s="250" t="s">
        <v>447</v>
      </c>
      <c r="E380" s="342">
        <f>E434</f>
        <v>1.9219160987365591E-2</v>
      </c>
      <c r="F380" s="479"/>
      <c r="G380" s="342">
        <f>G434</f>
        <v>1.4405934203944292E-2</v>
      </c>
      <c r="H380" s="479"/>
      <c r="I380" s="342">
        <f>I434</f>
        <v>3.3567317021085938E-2</v>
      </c>
      <c r="J380" s="479"/>
      <c r="K380" s="342">
        <f>K434</f>
        <v>2.8736696952421582E-2</v>
      </c>
      <c r="L380" s="479"/>
      <c r="M380" s="342">
        <f>M434</f>
        <v>3.3476977027926874E-2</v>
      </c>
      <c r="N380" s="479"/>
      <c r="O380" s="342">
        <f>O434</f>
        <v>1.7909999391293115E-2</v>
      </c>
      <c r="P380" s="479"/>
      <c r="Q380" s="342"/>
      <c r="R380" s="479"/>
    </row>
    <row r="381" spans="2:18" ht="16.5" thickBot="1" x14ac:dyDescent="0.3">
      <c r="B381" s="132"/>
      <c r="C381" s="132"/>
      <c r="D381" s="522"/>
      <c r="E381" s="259"/>
      <c r="F381" s="522"/>
      <c r="G381" s="259"/>
      <c r="H381" s="522"/>
      <c r="I381" s="259"/>
      <c r="J381" s="522"/>
      <c r="K381" s="259"/>
      <c r="L381" s="522"/>
      <c r="M381" s="259"/>
      <c r="N381" s="522"/>
      <c r="O381" s="259"/>
      <c r="P381" s="522"/>
      <c r="Q381" s="259"/>
      <c r="R381" s="522"/>
    </row>
    <row r="382" spans="2:18" ht="18.75" thickTop="1" x14ac:dyDescent="0.25">
      <c r="B382" s="132"/>
      <c r="C382" s="132"/>
      <c r="D382" s="254" t="str">
        <f t="shared" ref="D382:M384" si="259">D436</f>
        <v>Aumento acumulado anual</v>
      </c>
      <c r="E382" s="442">
        <f t="shared" ref="E382:F382" si="260">E436</f>
        <v>269661.92381002894</v>
      </c>
      <c r="F382" s="523"/>
      <c r="G382" s="442">
        <f t="shared" si="259"/>
        <v>231941.56829599035</v>
      </c>
      <c r="H382" s="523"/>
      <c r="I382" s="442">
        <f t="shared" ref="I382:K382" si="261">I436</f>
        <v>204069.38441862212</v>
      </c>
      <c r="J382" s="523"/>
      <c r="K382" s="442">
        <f t="shared" si="261"/>
        <v>141233.54314919212</v>
      </c>
      <c r="L382" s="523"/>
      <c r="M382" s="442">
        <f t="shared" si="259"/>
        <v>88942.967890304513</v>
      </c>
      <c r="N382" s="523"/>
      <c r="O382" s="442">
        <f t="shared" ref="O382" si="262">O436</f>
        <v>30000</v>
      </c>
      <c r="P382" s="523"/>
      <c r="Q382" s="442"/>
      <c r="R382" s="523"/>
    </row>
    <row r="383" spans="2:18" ht="18.75" thickBot="1" x14ac:dyDescent="0.3">
      <c r="B383" s="164"/>
      <c r="C383" s="132"/>
      <c r="D383" s="256" t="str">
        <f t="shared" si="259"/>
        <v>Porc Aum acumulado anual</v>
      </c>
      <c r="E383" s="524">
        <f t="shared" ref="E383:F383" si="263">E437</f>
        <v>0.15589896926933094</v>
      </c>
      <c r="F383" s="525"/>
      <c r="G383" s="524">
        <f t="shared" si="259"/>
        <v>0.13409179507868002</v>
      </c>
      <c r="H383" s="525"/>
      <c r="I383" s="524">
        <f t="shared" ref="I383:K383" si="264">I437</f>
        <v>0.11797811956834693</v>
      </c>
      <c r="J383" s="525"/>
      <c r="K383" s="524">
        <f t="shared" si="264"/>
        <v>8.165099281397234E-2</v>
      </c>
      <c r="L383" s="525"/>
      <c r="M383" s="524">
        <f t="shared" si="259"/>
        <v>5.1420374155685601E-2</v>
      </c>
      <c r="N383" s="525"/>
      <c r="O383" s="524">
        <f t="shared" ref="O383" si="265">O437</f>
        <v>1.7343824489566249E-2</v>
      </c>
      <c r="P383" s="525"/>
      <c r="Q383" s="524"/>
      <c r="R383" s="525"/>
    </row>
    <row r="384" spans="2:18" ht="17.25" thickTop="1" thickBot="1" x14ac:dyDescent="0.3">
      <c r="B384" s="132"/>
      <c r="C384" s="132"/>
      <c r="D384" s="258">
        <f t="shared" si="259"/>
        <v>0</v>
      </c>
      <c r="E384" s="259">
        <f t="shared" ref="E384:F384" si="266">E438</f>
        <v>0</v>
      </c>
      <c r="F384" s="260"/>
      <c r="G384" s="259">
        <f t="shared" si="259"/>
        <v>0</v>
      </c>
      <c r="H384" s="260"/>
      <c r="I384" s="259">
        <f t="shared" ref="I384:K384" si="267">I438</f>
        <v>0</v>
      </c>
      <c r="J384" s="260"/>
      <c r="K384" s="259">
        <f t="shared" si="267"/>
        <v>0</v>
      </c>
      <c r="L384" s="260"/>
      <c r="M384" s="259">
        <f t="shared" si="259"/>
        <v>0</v>
      </c>
      <c r="N384" s="260"/>
      <c r="O384" s="259">
        <f t="shared" ref="O384" si="268">O438</f>
        <v>0</v>
      </c>
      <c r="P384" s="260"/>
      <c r="Q384" s="259"/>
      <c r="R384" s="260"/>
    </row>
    <row r="385" spans="2:18" ht="18.75" thickBot="1" x14ac:dyDescent="0.3">
      <c r="B385" s="132"/>
      <c r="C385" s="132"/>
      <c r="D385" s="261" t="s">
        <v>448</v>
      </c>
      <c r="E385" s="343">
        <f>E439</f>
        <v>262085.67753573926</v>
      </c>
      <c r="F385" s="262"/>
      <c r="G385" s="343">
        <f>G439</f>
        <v>225557.74632667564</v>
      </c>
      <c r="H385" s="262"/>
      <c r="I385" s="343">
        <f>I439</f>
        <v>198566.66415249067</v>
      </c>
      <c r="J385" s="262"/>
      <c r="K385" s="343">
        <f>K439</f>
        <v>137717.20353435981</v>
      </c>
      <c r="L385" s="262"/>
      <c r="M385" s="343">
        <f>M439</f>
        <v>87079.649621907156</v>
      </c>
      <c r="N385" s="262"/>
      <c r="O385" s="343">
        <f>O439</f>
        <v>30000</v>
      </c>
      <c r="P385" s="262"/>
      <c r="Q385" s="343"/>
      <c r="R385" s="262"/>
    </row>
    <row r="386" spans="2:18" ht="18.75" thickBot="1" x14ac:dyDescent="0.3">
      <c r="B386" s="132"/>
      <c r="C386" s="132"/>
      <c r="D386" s="261" t="s">
        <v>449</v>
      </c>
      <c r="E386" s="480">
        <f>E440</f>
        <v>0.15646514417105778</v>
      </c>
      <c r="F386" s="262"/>
      <c r="G386" s="480">
        <f>G440</f>
        <v>0.13465796998040691</v>
      </c>
      <c r="H386" s="262"/>
      <c r="I386" s="480">
        <f>I440</f>
        <v>0.11854429447007374</v>
      </c>
      <c r="J386" s="262"/>
      <c r="K386" s="480">
        <f>K440</f>
        <v>8.2217167715699133E-2</v>
      </c>
      <c r="L386" s="262"/>
      <c r="M386" s="480">
        <f>M440</f>
        <v>5.1986549057412491E-2</v>
      </c>
      <c r="N386" s="262"/>
      <c r="O386" s="480">
        <f>O440</f>
        <v>1.7909999391293115E-2</v>
      </c>
      <c r="P386" s="262"/>
      <c r="Q386" s="480"/>
      <c r="R386" s="262"/>
    </row>
    <row r="387" spans="2:18" ht="16.5" thickBot="1" x14ac:dyDescent="0.3">
      <c r="B387" s="132"/>
      <c r="C387" s="132"/>
      <c r="D387" s="258"/>
      <c r="E387" s="526"/>
      <c r="F387" s="260"/>
      <c r="G387" s="526"/>
      <c r="H387" s="260"/>
      <c r="I387" s="526"/>
      <c r="J387" s="260"/>
      <c r="K387" s="526"/>
      <c r="L387" s="260"/>
      <c r="M387" s="526"/>
      <c r="N387" s="260"/>
      <c r="O387" s="526"/>
      <c r="P387" s="260"/>
      <c r="Q387" s="526"/>
      <c r="R387" s="260"/>
    </row>
    <row r="388" spans="2:18" ht="21" thickTop="1" x14ac:dyDescent="0.3">
      <c r="B388" s="132"/>
      <c r="C388" s="132"/>
      <c r="D388" s="264" t="str">
        <f>D442</f>
        <v>MEDIO AGUINALDO</v>
      </c>
      <c r="E388" s="527"/>
      <c r="F388" s="266"/>
      <c r="G388" s="527"/>
      <c r="H388" s="266"/>
      <c r="I388" s="527"/>
      <c r="J388" s="266"/>
      <c r="K388" s="527"/>
      <c r="L388" s="266"/>
      <c r="M388" s="527"/>
      <c r="N388" s="266"/>
      <c r="O388" s="527"/>
      <c r="P388" s="266"/>
      <c r="Q388" s="527"/>
      <c r="R388" s="266"/>
    </row>
    <row r="389" spans="2:18" ht="15.75" x14ac:dyDescent="0.25">
      <c r="B389" s="132"/>
      <c r="C389" s="132"/>
      <c r="D389" s="267"/>
      <c r="E389" s="528"/>
      <c r="F389" s="269"/>
      <c r="G389" s="528"/>
      <c r="H389" s="269"/>
      <c r="I389" s="528"/>
      <c r="J389" s="269"/>
      <c r="K389" s="528"/>
      <c r="L389" s="269"/>
      <c r="M389" s="528"/>
      <c r="N389" s="269"/>
      <c r="O389" s="528"/>
      <c r="P389" s="269"/>
      <c r="Q389" s="528"/>
      <c r="R389" s="269"/>
    </row>
    <row r="390" spans="2:18" ht="15.75" x14ac:dyDescent="0.25">
      <c r="B390" s="132"/>
      <c r="C390" s="132"/>
      <c r="D390" s="270" t="str">
        <f>D444</f>
        <v>Código 550</v>
      </c>
      <c r="E390" s="271">
        <f>E444</f>
        <v>1052610.2342286529</v>
      </c>
      <c r="F390" s="272"/>
      <c r="G390" s="271">
        <f>G444</f>
        <v>1032736.495812405</v>
      </c>
      <c r="H390" s="272"/>
      <c r="I390" s="271">
        <f>I444</f>
        <v>1018051.4674260151</v>
      </c>
      <c r="J390" s="272"/>
      <c r="K390" s="271">
        <f>K444</f>
        <v>984945.12323769566</v>
      </c>
      <c r="L390" s="272"/>
      <c r="M390" s="271">
        <f>M444</f>
        <v>957394.76746378234</v>
      </c>
      <c r="N390" s="272"/>
      <c r="O390" s="271">
        <f>O444</f>
        <v>926339.46299049223</v>
      </c>
      <c r="P390" s="272"/>
      <c r="Q390" s="271">
        <f>Q444</f>
        <v>911339.46299049223</v>
      </c>
      <c r="R390" s="272"/>
    </row>
    <row r="391" spans="2:18" ht="15.75" x14ac:dyDescent="0.25">
      <c r="B391" s="132"/>
      <c r="C391" s="132"/>
      <c r="D391" s="273"/>
      <c r="E391" s="268"/>
      <c r="F391" s="269"/>
      <c r="G391" s="268"/>
      <c r="H391" s="269"/>
      <c r="I391" s="268"/>
      <c r="J391" s="269"/>
      <c r="K391" s="268"/>
      <c r="L391" s="269"/>
      <c r="M391" s="268"/>
      <c r="N391" s="269"/>
      <c r="O391" s="268"/>
      <c r="P391" s="269"/>
      <c r="Q391" s="268"/>
      <c r="R391" s="269"/>
    </row>
    <row r="392" spans="2:18" ht="15.75" x14ac:dyDescent="0.25">
      <c r="B392" s="132"/>
      <c r="C392" s="132"/>
      <c r="D392" s="270" t="str">
        <f t="shared" ref="D392:M398" si="269">D446</f>
        <v>Descuentos</v>
      </c>
      <c r="E392" s="268"/>
      <c r="F392" s="272"/>
      <c r="G392" s="268"/>
      <c r="H392" s="272"/>
      <c r="I392" s="268"/>
      <c r="J392" s="272"/>
      <c r="K392" s="268"/>
      <c r="L392" s="272"/>
      <c r="M392" s="268"/>
      <c r="N392" s="272"/>
      <c r="O392" s="268"/>
      <c r="P392" s="272"/>
      <c r="Q392" s="268"/>
      <c r="R392" s="272"/>
    </row>
    <row r="393" spans="2:18" ht="15.75" x14ac:dyDescent="0.25">
      <c r="B393" s="197">
        <f>B447</f>
        <v>703</v>
      </c>
      <c r="C393" s="213">
        <f>C447</f>
        <v>2.5000000000000001E-3</v>
      </c>
      <c r="D393" s="274" t="str">
        <f t="shared" si="269"/>
        <v>Federación de  jubil</v>
      </c>
      <c r="E393" s="275">
        <f t="shared" ref="E393:F393" si="270">E447</f>
        <v>2631.5255855716323</v>
      </c>
      <c r="F393" s="276"/>
      <c r="G393" s="275">
        <f t="shared" si="269"/>
        <v>2581.8412395310124</v>
      </c>
      <c r="H393" s="276"/>
      <c r="I393" s="275">
        <f t="shared" ref="I393:K393" si="271">I447</f>
        <v>2545.1286685650375</v>
      </c>
      <c r="J393" s="276"/>
      <c r="K393" s="275">
        <f t="shared" si="271"/>
        <v>2462.3628080942394</v>
      </c>
      <c r="L393" s="276"/>
      <c r="M393" s="275">
        <f t="shared" si="269"/>
        <v>2393.486918659456</v>
      </c>
      <c r="N393" s="276"/>
      <c r="O393" s="275">
        <f t="shared" ref="O393" si="272">O447</f>
        <v>2315.8486574762305</v>
      </c>
      <c r="P393" s="276"/>
      <c r="Q393" s="275">
        <f t="shared" ref="Q393" si="273">Q447</f>
        <v>2278.3486574762305</v>
      </c>
      <c r="R393" s="276"/>
    </row>
    <row r="394" spans="2:18" ht="15.75" x14ac:dyDescent="0.25">
      <c r="B394" s="197">
        <f>B448</f>
        <v>707</v>
      </c>
      <c r="C394" s="217">
        <f>C448</f>
        <v>0.03</v>
      </c>
      <c r="D394" s="277" t="str">
        <f t="shared" si="269"/>
        <v>Aporte IOSPER</v>
      </c>
      <c r="E394" s="275">
        <f t="shared" ref="E394:F394" si="274">E448</f>
        <v>31578.307026859587</v>
      </c>
      <c r="F394" s="278"/>
      <c r="G394" s="275">
        <f t="shared" si="269"/>
        <v>30982.094874372149</v>
      </c>
      <c r="H394" s="278"/>
      <c r="I394" s="275">
        <f t="shared" ref="I394:K394" si="275">I448</f>
        <v>30541.54402278045</v>
      </c>
      <c r="J394" s="278"/>
      <c r="K394" s="275">
        <f t="shared" si="275"/>
        <v>29548.353697130868</v>
      </c>
      <c r="L394" s="278"/>
      <c r="M394" s="275">
        <f t="shared" si="269"/>
        <v>28721.843023913469</v>
      </c>
      <c r="N394" s="278"/>
      <c r="O394" s="275">
        <f t="shared" ref="O394" si="276">O448</f>
        <v>27790.183889714765</v>
      </c>
      <c r="P394" s="278"/>
      <c r="Q394" s="275">
        <f t="shared" ref="Q394" si="277">Q448</f>
        <v>27340.183889714765</v>
      </c>
      <c r="R394" s="278"/>
    </row>
    <row r="395" spans="2:18" ht="15.75" x14ac:dyDescent="0.25">
      <c r="B395" s="197">
        <f>B449</f>
        <v>709</v>
      </c>
      <c r="C395" s="219">
        <v>1.5E-3</v>
      </c>
      <c r="D395" s="277" t="str">
        <f t="shared" si="269"/>
        <v>Seguro ley 3011</v>
      </c>
      <c r="E395" s="275">
        <f t="shared" ref="E395:F395" si="278">E449</f>
        <v>1578.9153513429794</v>
      </c>
      <c r="F395" s="278"/>
      <c r="G395" s="275">
        <f t="shared" si="269"/>
        <v>1549.1047437186076</v>
      </c>
      <c r="H395" s="278"/>
      <c r="I395" s="275">
        <f t="shared" ref="I395:K395" si="279">I449</f>
        <v>1527.0772011390227</v>
      </c>
      <c r="J395" s="278"/>
      <c r="K395" s="275">
        <f t="shared" si="279"/>
        <v>1477.4176848565435</v>
      </c>
      <c r="L395" s="278"/>
      <c r="M395" s="275">
        <f t="shared" si="269"/>
        <v>1436.0921511956735</v>
      </c>
      <c r="N395" s="278"/>
      <c r="O395" s="275">
        <f t="shared" ref="O395" si="280">O449</f>
        <v>1389.5091944857384</v>
      </c>
      <c r="P395" s="278"/>
      <c r="Q395" s="275">
        <f t="shared" ref="Q395" si="281">Q449</f>
        <v>1367.0091944857384</v>
      </c>
      <c r="R395" s="278"/>
    </row>
    <row r="396" spans="2:18" ht="15.75" x14ac:dyDescent="0.25">
      <c r="B396" s="197">
        <f>B450</f>
        <v>713</v>
      </c>
      <c r="C396" s="220">
        <f>C450</f>
        <v>7.0000000000000001E-3</v>
      </c>
      <c r="D396" s="277" t="str">
        <f t="shared" si="269"/>
        <v>Serv Sepelio IAPS</v>
      </c>
      <c r="E396" s="275">
        <f t="shared" ref="E396:F396" si="282">E450</f>
        <v>7368.2716396005708</v>
      </c>
      <c r="F396" s="278"/>
      <c r="G396" s="275">
        <f t="shared" si="269"/>
        <v>7229.1554706868355</v>
      </c>
      <c r="H396" s="278"/>
      <c r="I396" s="275">
        <f t="shared" ref="I396:K396" si="283">I450</f>
        <v>7126.3602719821056</v>
      </c>
      <c r="J396" s="278"/>
      <c r="K396" s="275">
        <f t="shared" si="283"/>
        <v>6894.6158626638698</v>
      </c>
      <c r="L396" s="278"/>
      <c r="M396" s="275">
        <f t="shared" si="269"/>
        <v>6701.7633722464761</v>
      </c>
      <c r="N396" s="278"/>
      <c r="O396" s="275">
        <f t="shared" ref="O396" si="284">O450</f>
        <v>6484.3762409334458</v>
      </c>
      <c r="P396" s="278"/>
      <c r="Q396" s="275">
        <f t="shared" ref="Q396" si="285">Q450</f>
        <v>6379.3762409334458</v>
      </c>
      <c r="R396" s="278"/>
    </row>
    <row r="397" spans="2:18" ht="16.5" thickBot="1" x14ac:dyDescent="0.3">
      <c r="B397" s="197">
        <f>B451</f>
        <v>787</v>
      </c>
      <c r="C397" s="217">
        <f>C368</f>
        <v>0.01</v>
      </c>
      <c r="D397" s="277" t="str">
        <f t="shared" si="269"/>
        <v>Desc AGMER 1 %</v>
      </c>
      <c r="E397" s="275">
        <f t="shared" ref="E397:F397" si="286">E451</f>
        <v>10526.102342286529</v>
      </c>
      <c r="F397" s="278"/>
      <c r="G397" s="275">
        <f t="shared" si="269"/>
        <v>10327.36495812405</v>
      </c>
      <c r="H397" s="278"/>
      <c r="I397" s="275">
        <f t="shared" ref="I397:K397" si="287">I451</f>
        <v>10180.51467426015</v>
      </c>
      <c r="J397" s="278"/>
      <c r="K397" s="275">
        <f t="shared" si="287"/>
        <v>9849.4512323769577</v>
      </c>
      <c r="L397" s="278"/>
      <c r="M397" s="275">
        <f t="shared" si="269"/>
        <v>9573.9476746378241</v>
      </c>
      <c r="N397" s="278"/>
      <c r="O397" s="275">
        <f t="shared" ref="O397" si="288">O451</f>
        <v>9263.3946299049221</v>
      </c>
      <c r="P397" s="278"/>
      <c r="Q397" s="275">
        <f t="shared" ref="Q397" si="289">Q451</f>
        <v>9113.3946299049221</v>
      </c>
      <c r="R397" s="278"/>
    </row>
    <row r="398" spans="2:18" ht="16.5" thickBot="1" x14ac:dyDescent="0.3">
      <c r="B398" s="132"/>
      <c r="C398" s="132"/>
      <c r="D398" s="279" t="str">
        <f t="shared" si="269"/>
        <v>Total Descuentos</v>
      </c>
      <c r="E398" s="280">
        <f t="shared" ref="E398:F398" si="290">E452</f>
        <v>53683.121945661303</v>
      </c>
      <c r="F398" s="226"/>
      <c r="G398" s="280">
        <f t="shared" si="269"/>
        <v>52669.561286432654</v>
      </c>
      <c r="H398" s="226"/>
      <c r="I398" s="280">
        <f t="shared" ref="I398:K398" si="291">I452</f>
        <v>51920.62483872677</v>
      </c>
      <c r="J398" s="226"/>
      <c r="K398" s="280">
        <f t="shared" si="291"/>
        <v>50232.201285122479</v>
      </c>
      <c r="L398" s="226"/>
      <c r="M398" s="280">
        <f t="shared" si="269"/>
        <v>48827.133140652892</v>
      </c>
      <c r="N398" s="226"/>
      <c r="O398" s="280">
        <f t="shared" ref="O398" si="292">O452</f>
        <v>47243.312612515103</v>
      </c>
      <c r="P398" s="226"/>
      <c r="Q398" s="280">
        <f t="shared" ref="Q398" si="293">Q452</f>
        <v>46478.312612515103</v>
      </c>
      <c r="R398" s="226"/>
    </row>
    <row r="399" spans="2:18" ht="16.5" thickBot="1" x14ac:dyDescent="0.3">
      <c r="B399" s="132"/>
      <c r="C399" s="132"/>
      <c r="D399" s="281"/>
      <c r="E399" s="529"/>
      <c r="F399" s="364"/>
      <c r="G399" s="529"/>
      <c r="H399" s="364"/>
      <c r="I399" s="529"/>
      <c r="J399" s="364"/>
      <c r="K399" s="529"/>
      <c r="L399" s="364"/>
      <c r="M399" s="529"/>
      <c r="N399" s="364"/>
      <c r="O399" s="529"/>
      <c r="P399" s="364"/>
      <c r="Q399" s="529"/>
      <c r="R399" s="364"/>
    </row>
    <row r="400" spans="2:18" ht="21" thickBot="1" x14ac:dyDescent="0.35">
      <c r="B400" s="132"/>
      <c r="C400" s="132"/>
      <c r="D400" s="284" t="str">
        <f>D454</f>
        <v>Líquido</v>
      </c>
      <c r="E400" s="530">
        <f>E454</f>
        <v>998927.11228299164</v>
      </c>
      <c r="F400" s="531"/>
      <c r="G400" s="530">
        <f>G454</f>
        <v>980066.93452597235</v>
      </c>
      <c r="H400" s="531"/>
      <c r="I400" s="530">
        <f>I454</f>
        <v>966130.84258728824</v>
      </c>
      <c r="J400" s="531"/>
      <c r="K400" s="530">
        <f>K454</f>
        <v>934712.92195257323</v>
      </c>
      <c r="L400" s="531"/>
      <c r="M400" s="530">
        <f>M454</f>
        <v>908567.63432312943</v>
      </c>
      <c r="N400" s="531"/>
      <c r="O400" s="530">
        <f>O454</f>
        <v>879096.15037797717</v>
      </c>
      <c r="P400" s="531"/>
      <c r="Q400" s="530">
        <f>Q454</f>
        <v>864861.15037797717</v>
      </c>
      <c r="R400" s="531"/>
    </row>
    <row r="401" spans="2:18" ht="16.5" thickTop="1" x14ac:dyDescent="0.25">
      <c r="B401" s="389"/>
      <c r="C401" s="157"/>
      <c r="D401" s="390"/>
      <c r="E401" s="376"/>
      <c r="F401" s="388"/>
      <c r="G401" s="376"/>
      <c r="H401" s="388"/>
      <c r="I401" s="376"/>
      <c r="J401" s="388"/>
      <c r="K401" s="376"/>
      <c r="L401" s="388"/>
      <c r="M401" s="376"/>
      <c r="N401" s="388"/>
      <c r="O401" s="376"/>
      <c r="P401" s="388"/>
      <c r="Q401" s="376"/>
      <c r="R401" s="388"/>
    </row>
    <row r="402" spans="2:18" ht="24" hidden="1" thickBot="1" x14ac:dyDescent="0.3">
      <c r="B402" s="290"/>
      <c r="C402" s="290"/>
      <c r="D402" s="291" t="s">
        <v>472</v>
      </c>
      <c r="E402" s="461">
        <f>E426</f>
        <v>1999384.2245659833</v>
      </c>
      <c r="F402" s="462"/>
      <c r="G402" s="461">
        <f>G426</f>
        <v>1961663.8690519447</v>
      </c>
      <c r="H402" s="462"/>
      <c r="I402" s="461">
        <f>I426</f>
        <v>1933791.6851745765</v>
      </c>
      <c r="J402" s="462"/>
      <c r="K402" s="461">
        <f>K426</f>
        <v>1870955.8439051465</v>
      </c>
      <c r="L402" s="462"/>
      <c r="M402" s="461">
        <f>M426</f>
        <v>1818665.2686462589</v>
      </c>
      <c r="N402" s="462"/>
      <c r="O402" s="461">
        <f>O426</f>
        <v>1759722.3007559543</v>
      </c>
      <c r="P402" s="462"/>
      <c r="Q402" s="461">
        <f>Q426</f>
        <v>1729722.3007559543</v>
      </c>
      <c r="R402" s="462"/>
    </row>
    <row r="403" spans="2:18" ht="23.25" hidden="1" x14ac:dyDescent="0.25">
      <c r="B403" s="532"/>
      <c r="C403" s="532"/>
      <c r="D403" s="533"/>
      <c r="E403" s="534">
        <f>E428</f>
        <v>1937127.6105122641</v>
      </c>
      <c r="F403" s="535"/>
      <c r="G403" s="534">
        <f>G428</f>
        <v>1900599.6793032004</v>
      </c>
      <c r="H403" s="535"/>
      <c r="I403" s="534">
        <f>I428</f>
        <v>1873608.5971290155</v>
      </c>
      <c r="J403" s="535"/>
      <c r="K403" s="534">
        <f>K428</f>
        <v>1812759.1365108846</v>
      </c>
      <c r="L403" s="535"/>
      <c r="M403" s="534">
        <f>M428</f>
        <v>1762121.582598432</v>
      </c>
      <c r="N403" s="535"/>
      <c r="O403" s="534">
        <f>O428</f>
        <v>1705041.9329765248</v>
      </c>
      <c r="P403" s="535"/>
      <c r="Q403" s="534">
        <f>Q428</f>
        <v>1675041.9329765248</v>
      </c>
      <c r="R403" s="535"/>
    </row>
    <row r="404" spans="2:18" ht="15.75" hidden="1" x14ac:dyDescent="0.25">
      <c r="B404" s="20" t="s">
        <v>438</v>
      </c>
      <c r="C404" s="132"/>
      <c r="D404" s="71">
        <f>D340*86.9</f>
        <v>3128.4</v>
      </c>
      <c r="E404" s="71"/>
      <c r="F404" s="272"/>
      <c r="G404" s="71"/>
      <c r="H404" s="272"/>
      <c r="I404" s="71"/>
      <c r="J404" s="272"/>
      <c r="K404" s="71"/>
      <c r="L404" s="272"/>
      <c r="M404" s="71"/>
      <c r="N404" s="272"/>
      <c r="O404" s="71"/>
      <c r="P404" s="272"/>
      <c r="Q404" s="71"/>
      <c r="R404" s="272"/>
    </row>
    <row r="405" spans="2:18" ht="15.75" hidden="1" x14ac:dyDescent="0.25">
      <c r="B405" s="132"/>
      <c r="C405" s="164"/>
      <c r="D405" s="536"/>
      <c r="E405" s="132"/>
      <c r="F405" s="491"/>
      <c r="G405" s="132"/>
      <c r="H405" s="491"/>
      <c r="I405" s="132"/>
      <c r="J405" s="491"/>
      <c r="K405" s="132"/>
      <c r="L405" s="491"/>
      <c r="M405" s="132"/>
      <c r="N405" s="491"/>
      <c r="O405" s="132"/>
      <c r="P405" s="491"/>
      <c r="Q405" s="132"/>
      <c r="R405" s="491"/>
    </row>
    <row r="406" spans="2:18" ht="23.25" hidden="1" x14ac:dyDescent="0.35">
      <c r="B406">
        <f>66853/15</f>
        <v>4456.8666666666668</v>
      </c>
      <c r="D406" s="23"/>
      <c r="E406" s="21">
        <v>46143</v>
      </c>
      <c r="F406" s="22">
        <v>3.5000000000000003E-2</v>
      </c>
      <c r="G406" s="21">
        <v>46143</v>
      </c>
      <c r="H406" s="22">
        <v>3.5000000000000003E-2</v>
      </c>
      <c r="I406" s="21">
        <v>46143</v>
      </c>
      <c r="J406" s="22">
        <v>3.5000000000000003E-2</v>
      </c>
      <c r="K406" s="21">
        <v>46143</v>
      </c>
      <c r="L406" s="22">
        <v>3.5000000000000003E-2</v>
      </c>
      <c r="M406" s="21">
        <v>46143</v>
      </c>
      <c r="N406" s="22">
        <v>3.5000000000000003E-2</v>
      </c>
      <c r="O406" s="21">
        <v>46054</v>
      </c>
      <c r="P406" s="22">
        <v>0</v>
      </c>
      <c r="Q406" s="21">
        <v>45992</v>
      </c>
      <c r="R406" s="537"/>
    </row>
    <row r="407" spans="2:18" ht="15.75" hidden="1" thickBot="1" x14ac:dyDescent="0.3">
      <c r="B407" s="538"/>
      <c r="C407" s="538"/>
      <c r="D407" s="538"/>
      <c r="E407" s="538"/>
      <c r="F407" s="539"/>
      <c r="G407" s="538"/>
      <c r="H407" s="539"/>
      <c r="I407" s="538"/>
      <c r="J407" s="539"/>
      <c r="K407" s="538"/>
      <c r="L407" s="539"/>
      <c r="M407" s="538"/>
      <c r="N407" s="539"/>
      <c r="O407" s="538"/>
      <c r="P407" s="539"/>
      <c r="Q407" s="538"/>
      <c r="R407" s="539"/>
    </row>
    <row r="408" spans="2:18" ht="16.5" hidden="1" thickBot="1" x14ac:dyDescent="0.3">
      <c r="B408" s="290">
        <v>402</v>
      </c>
      <c r="C408" s="290"/>
      <c r="D408" s="290" t="s">
        <v>451</v>
      </c>
      <c r="E408" s="297" cm="1">
        <f t="array" ref="E408">puntostotalhorassup*indicedic26*porjubhorsup</f>
        <v>773695.31631962105</v>
      </c>
      <c r="F408" s="540"/>
      <c r="G408" s="297">
        <f>puntostotalhorassup*indicenov26*porjubhorsup</f>
        <v>758524.81992119714</v>
      </c>
      <c r="H408" s="540"/>
      <c r="I408" s="297">
        <f>puntostotalhorassup*indicesep26*porjubhorsup</f>
        <v>747315.09351842094</v>
      </c>
      <c r="J408" s="540"/>
      <c r="K408" s="297">
        <f>puntostotalhorassup*indicejul26*porjubhorsup</f>
        <v>722043.56861683191</v>
      </c>
      <c r="L408" s="540"/>
      <c r="M408" s="297">
        <f>puntostotalhorassup*indicemay26*porjubhorsup</f>
        <v>701013.17341439996</v>
      </c>
      <c r="N408" s="540"/>
      <c r="O408" s="297">
        <f>puntostotalhorassup*indicedic25*porjubhorsup</f>
        <v>677307.28347704245</v>
      </c>
      <c r="P408" s="540"/>
      <c r="Q408" s="297">
        <f>puntostotalhorassup*indicedic25*porjubhorsup</f>
        <v>677307.28347704245</v>
      </c>
      <c r="R408" s="540"/>
    </row>
    <row r="409" spans="2:18" ht="16.5" hidden="1" thickBot="1" x14ac:dyDescent="0.3">
      <c r="B409" s="290">
        <v>406</v>
      </c>
      <c r="C409" s="290"/>
      <c r="D409" s="290" t="s">
        <v>457</v>
      </c>
      <c r="E409" s="297">
        <f>(E408+E415)*porcantigsup</f>
        <v>953034.37958354526</v>
      </c>
      <c r="F409" s="540"/>
      <c r="G409" s="297">
        <f>(G408+G415)*porcantigsup</f>
        <v>934829.78390543652</v>
      </c>
      <c r="H409" s="540"/>
      <c r="I409" s="297">
        <f>(I408+I415)*porcantigsup</f>
        <v>921378.11222210515</v>
      </c>
      <c r="J409" s="540"/>
      <c r="K409" s="297">
        <f>(K408+K415)*porcantigsup</f>
        <v>891052.28234019829</v>
      </c>
      <c r="L409" s="540"/>
      <c r="M409" s="297">
        <f>(M408+M415)*porcantigsup</f>
        <v>865815.80809727998</v>
      </c>
      <c r="N409" s="540"/>
      <c r="O409" s="297">
        <f>(O408+O415)*porcantigsup</f>
        <v>837368.7401724509</v>
      </c>
      <c r="P409" s="540"/>
      <c r="Q409" s="297">
        <f>(Q408+Q415)*porcantigsup</f>
        <v>837368.7401724509</v>
      </c>
      <c r="R409" s="540"/>
    </row>
    <row r="410" spans="2:18" ht="16.5" hidden="1" thickBot="1" x14ac:dyDescent="0.3">
      <c r="B410" s="290">
        <v>432</v>
      </c>
      <c r="C410" s="290"/>
      <c r="D410" s="290" t="s">
        <v>486</v>
      </c>
      <c r="E410" s="297">
        <f>IF(numhorassup&gt;17,17*4241.88,4241.88*numhorassup)*porjubhorsup*(1+aumentodiciembre26)</f>
        <v>67546.879504686352</v>
      </c>
      <c r="F410" s="540"/>
      <c r="G410" s="297">
        <f>IF(numhorassup&gt;17,17*4241.88,4241.88*numhorassup)*porjubhorsup*(1+aumentonoviembre26)</f>
        <v>66222.430886947404</v>
      </c>
      <c r="H410" s="540"/>
      <c r="I410" s="297">
        <f>IF(numhorassup&gt;17,17*4241.88,4241.88*numhorassup)*porjubhorsup*(1+aumentoseptiembre26)</f>
        <v>65243.7742728546</v>
      </c>
      <c r="J410" s="540"/>
      <c r="K410" s="297">
        <f>IF(numhorassup&gt;17,17*4241.88,4241.88*numhorassup)*porjubhorsup*(1+aumentojulio26)</f>
        <v>63037.463065559998</v>
      </c>
      <c r="L410" s="540"/>
      <c r="M410" s="297">
        <f>IF(numhorassup&gt;17,17*4241.88,4241.88*numhorassup)*porjubhorsup*(1+aumentomayo26)</f>
        <v>61201.420451999998</v>
      </c>
      <c r="N410" s="540"/>
      <c r="O410" s="297">
        <f>IF(numhorassup&gt;17,17*4241.88,4241.88*numhorassup)*porjubhorsup</f>
        <v>59131.807200000003</v>
      </c>
      <c r="P410" s="540"/>
      <c r="Q410" s="297">
        <f>IF(numhorassup&gt;17,17*4241.88,4241.88*numhorassup)*porjubhorsup</f>
        <v>59131.807200000003</v>
      </c>
      <c r="R410" s="540"/>
    </row>
    <row r="411" spans="2:18" ht="16.5" hidden="1" thickBot="1" x14ac:dyDescent="0.3">
      <c r="B411" s="290">
        <v>434</v>
      </c>
      <c r="C411" s="290"/>
      <c r="D411" s="290" t="s">
        <v>461</v>
      </c>
      <c r="E411" s="297">
        <f>(E408+E409+E410+E412+E415)*0.07*0.95</f>
        <v>123376.44369985524</v>
      </c>
      <c r="F411" s="540"/>
      <c r="G411" s="297">
        <f>(G408+G409+G410+G412+G415)*0.07*0.95</f>
        <v>121016.10460770121</v>
      </c>
      <c r="H411" s="540"/>
      <c r="I411" s="297">
        <f>(I408+I409+I410+I412+I415)*0.07*0.95</f>
        <v>119272.01168246429</v>
      </c>
      <c r="J411" s="540"/>
      <c r="K411" s="297">
        <f>(K408+K409+K410+K412+K415)*0.07*0.95</f>
        <v>115340.07916180124</v>
      </c>
      <c r="L411" s="540"/>
      <c r="M411" s="297">
        <f>(M408+M409+M410+M412+M415)*0.07*0.95</f>
        <v>112068.01326388473</v>
      </c>
      <c r="N411" s="540"/>
      <c r="O411" s="297">
        <f>(O408+O409+O410+O412+O415)*0.07*0.95</f>
        <v>108379.6751314913</v>
      </c>
      <c r="P411" s="540"/>
      <c r="Q411" s="297">
        <f>(Q408+Q409+Q410+Q412+Q415)*0.07*0.95</f>
        <v>108379.6751314913</v>
      </c>
      <c r="R411" s="540"/>
    </row>
    <row r="412" spans="2:18" ht="16.5" hidden="1" thickBot="1" x14ac:dyDescent="0.3">
      <c r="B412" s="290">
        <v>437</v>
      </c>
      <c r="C412" s="290"/>
      <c r="D412" s="305" t="s">
        <v>462</v>
      </c>
      <c r="E412" s="297">
        <f>IF(numhorassup&gt;30,43246,1141.5333*numhorassup)*porjubhorsup*(1+aumentodiciembre26)</f>
        <v>40508.292259143505</v>
      </c>
      <c r="F412" s="540"/>
      <c r="G412" s="297">
        <f>IF(numhorassup&gt;30,43246,1141.5333*numhorassup)*porjubhorsup*(1+aumentonoviembre26)</f>
        <v>39714.012018768139</v>
      </c>
      <c r="H412" s="540"/>
      <c r="I412" s="297">
        <f>IF(numhorassup&gt;30,43246,1141.5333*numhorassup)*porjubhorsup*(1+aumentoseptiembre26)</f>
        <v>39127.105437209997</v>
      </c>
      <c r="J412" s="540"/>
      <c r="K412" s="297">
        <f>IF(numhorassup&gt;30,43246,1141.5333*numhorassup)*porjubhorsup*(1+aumentojulio26)</f>
        <v>37803.966606000002</v>
      </c>
      <c r="L412" s="540"/>
      <c r="M412" s="297">
        <f>IF(numhorassup&gt;30,43246,1141.5333*numhorassup)*porjubhorsup*(1+aumentomayo26)</f>
        <v>36702.8802</v>
      </c>
      <c r="N412" s="540"/>
      <c r="O412" s="297">
        <f>IF(numhorassup&gt;30,43246,1141.5333*numhorassup)*porjubhorsup</f>
        <v>35461.72</v>
      </c>
      <c r="P412" s="540"/>
      <c r="Q412" s="297">
        <f>IF(numhorassup&gt;30,43246,1141.5333*numhorassup)*porjubhorsup</f>
        <v>35461.72</v>
      </c>
      <c r="R412" s="540"/>
    </row>
    <row r="413" spans="2:18" ht="16.5" hidden="1" thickBot="1" x14ac:dyDescent="0.3">
      <c r="B413" s="290"/>
      <c r="C413" s="290"/>
      <c r="D413" s="290" t="s">
        <v>463</v>
      </c>
      <c r="E413" s="311">
        <f>E359</f>
        <v>0</v>
      </c>
      <c r="F413" s="540"/>
      <c r="G413" s="311">
        <f>G359</f>
        <v>0</v>
      </c>
      <c r="H413" s="540"/>
      <c r="I413" s="311">
        <f>I359</f>
        <v>0</v>
      </c>
      <c r="J413" s="540"/>
      <c r="K413" s="311">
        <f>K359</f>
        <v>0</v>
      </c>
      <c r="L413" s="540"/>
      <c r="M413" s="311">
        <f>M359</f>
        <v>0</v>
      </c>
      <c r="N413" s="540"/>
      <c r="O413" s="311">
        <f>O359</f>
        <v>0</v>
      </c>
      <c r="P413" s="540"/>
      <c r="Q413" s="311">
        <f>Q359</f>
        <v>0</v>
      </c>
      <c r="R413" s="540"/>
    </row>
    <row r="414" spans="2:18" ht="21" hidden="1" thickBot="1" x14ac:dyDescent="0.35">
      <c r="B414" s="470">
        <v>1584</v>
      </c>
      <c r="C414" s="541">
        <f>C360</f>
        <v>15</v>
      </c>
      <c r="D414" s="305" t="s">
        <v>488</v>
      </c>
      <c r="E414" s="297">
        <f>IF($C414="",IF(numhorassup&lt;15,6872.3333*numhorassup,103085),IF($C414&lt;15,6872.3333*$C414,103085))*porjubhorsup*solohorassup*(1+aumentodiciembre26)</f>
        <v>96559.157090454799</v>
      </c>
      <c r="F414" s="540"/>
      <c r="G414" s="297">
        <f>IF($C414="",IF(numhorassup&lt;15,6872.3333*numhorassup,103085),IF($C414&lt;15,6872.3333*$C414,103085))*porjubhorsup*solohorassup*(1+aumentonoviembre26)</f>
        <v>94665.840284759601</v>
      </c>
      <c r="H414" s="540"/>
      <c r="I414" s="297">
        <f>IF($C414="",IF(numhorassup&lt;15,6872.3333*numhorassup,103085),IF($C414&lt;15,6872.3333*$C414,103085))*porjubhorsup*solohorassup*(1+aumentoseptiembre26)</f>
        <v>93266.837718974988</v>
      </c>
      <c r="J414" s="540"/>
      <c r="K414" s="297">
        <f>IF($C414="",IF(numhorassup&lt;15,6872.3333*numhorassup,103085),IF($C414&lt;15,6872.3333*$C414,103085))*porjubhorsup*solohorassup*(1+aumentojulio26)</f>
        <v>90112.88668499999</v>
      </c>
      <c r="L414" s="540"/>
      <c r="M414" s="297">
        <f>IF($C414="",IF(numhorassup&lt;15,6872.3333*numhorassup,103085),IF($C414&lt;15,6872.3333*$C414,103085))*porjubhorsup*solohorassup*(1+aumentomayo26)</f>
        <v>87488.239499999996</v>
      </c>
      <c r="N414" s="540"/>
      <c r="O414" s="297">
        <f>IF($C414="",IF(numhorassup&lt;15,6872.3333*numhorassup,103085),IF($C414&lt;15,6872.3333*$C414,103085))*porjubhorsup*solohorassup</f>
        <v>84529.7</v>
      </c>
      <c r="P414" s="540"/>
      <c r="Q414" s="297">
        <f>IF($C414="",IF(numhorassup&lt;15,6872.3333*numhorassup,103085),IF($C414&lt;15,6872.3333*$C414,103085))*porjubhorsup*solohorassup</f>
        <v>84529.7</v>
      </c>
      <c r="R414" s="540"/>
    </row>
    <row r="415" spans="2:18" ht="18.75" hidden="1" thickBot="1" x14ac:dyDescent="0.3">
      <c r="B415" s="204">
        <v>1622</v>
      </c>
      <c r="C415" s="307">
        <f>C361</f>
        <v>1</v>
      </c>
      <c r="D415" s="308" t="s">
        <v>443</v>
      </c>
      <c r="E415" s="309">
        <f>IF(AND(porcantigsup&gt;=50%,$C415=1),IF(numhorassup&gt;15,25000,1666.6666*numhorassup),0)*porjubcar*frac</f>
        <v>20500</v>
      </c>
      <c r="F415" s="310"/>
      <c r="G415" s="309">
        <f>IF(AND(porcantigsup&gt;=50%,$C415=1),IF(numhorassup&gt;15,25000,1666.6666*numhorassup),0)*porjubcar*frac</f>
        <v>20500</v>
      </c>
      <c r="H415" s="310"/>
      <c r="I415" s="309">
        <f>IF(AND(porcantigsup&gt;=50%,$C415=1),IF(numhorassup&gt;15,25000,1666.6666*numhorassup),0)*porjubcar*frac</f>
        <v>20500</v>
      </c>
      <c r="J415" s="310"/>
      <c r="K415" s="309">
        <f>IF(AND(porcantigsup&gt;=50%,$C415=1),IF(numhorassup&gt;15,25000,1666.6666*numhorassup),0)*porjubcar*frac</f>
        <v>20500</v>
      </c>
      <c r="L415" s="310"/>
      <c r="M415" s="309">
        <f>IF(AND(porcantigsup&gt;=50%,$C415=1),IF(numhorassup&gt;15,25000,1666.6666*numhorassup),0)*porjubcar*frac</f>
        <v>20500</v>
      </c>
      <c r="N415" s="310"/>
      <c r="O415" s="309">
        <f>IF(AND(porcantigsup&gt;=50%,$C415=1),IF(numhorassup&gt;15,25000,1666.6666*numhorassup),0)*porjubcar*frac</f>
        <v>20500</v>
      </c>
      <c r="P415" s="310"/>
      <c r="Q415" s="309">
        <f>IF(AND(porcantigsup&gt;=50%,$C415=1),IF(numhorassup&gt;15,25000,1666.6666*numhorassup),0)*porjubcar*frac</f>
        <v>20500</v>
      </c>
      <c r="R415" s="310"/>
    </row>
    <row r="416" spans="2:18" ht="21" hidden="1" thickBot="1" x14ac:dyDescent="0.35">
      <c r="B416" s="568">
        <v>1650</v>
      </c>
      <c r="C416" s="567">
        <f>C362</f>
        <v>1</v>
      </c>
      <c r="D416" s="569" t="s">
        <v>500</v>
      </c>
      <c r="E416" s="570">
        <f>IF($C416=1,IF(numhorassup&lt;15,2000*numhorassup,30000),0)</f>
        <v>30000</v>
      </c>
      <c r="F416" s="310"/>
      <c r="G416" s="570">
        <f>IF($C416=1,IF(numhorassup&lt;15,2000*numhorassup,30000),0)</f>
        <v>30000</v>
      </c>
      <c r="H416" s="310"/>
      <c r="I416" s="570">
        <f>IF($C416=1,IF(numhorassup&lt;15,2000*numhorassup,30000),0)</f>
        <v>30000</v>
      </c>
      <c r="J416" s="310"/>
      <c r="K416" s="570">
        <f>IF($C416=1,IF(numhorassup&lt;15,2000*numhorassup,30000),0)</f>
        <v>30000</v>
      </c>
      <c r="L416" s="310"/>
      <c r="M416" s="570">
        <f>IF($C416=1,IF(numhorassup&lt;15,2000*numhorassup,30000),0)</f>
        <v>30000</v>
      </c>
      <c r="N416" s="310"/>
      <c r="O416" s="570">
        <f>IF($C416=1,IF(numhorassup&lt;15,2000*numhorassup,30000),0)</f>
        <v>30000</v>
      </c>
      <c r="P416" s="310"/>
      <c r="Q416" s="570">
        <v>0</v>
      </c>
      <c r="R416" s="310"/>
    </row>
    <row r="417" spans="2:18" ht="18.75" hidden="1" thickBot="1" x14ac:dyDescent="0.3">
      <c r="B417" s="290"/>
      <c r="C417" s="349"/>
      <c r="D417" s="312" t="s">
        <v>464</v>
      </c>
      <c r="E417" s="356">
        <f>SUM(E408:E416)</f>
        <v>2105220.4684573058</v>
      </c>
      <c r="F417" s="540"/>
      <c r="G417" s="356">
        <f>SUM(G408:G416)</f>
        <v>2065472.99162481</v>
      </c>
      <c r="H417" s="540"/>
      <c r="I417" s="356">
        <f>SUM(I408:I416)</f>
        <v>2036102.9348520301</v>
      </c>
      <c r="J417" s="540"/>
      <c r="K417" s="356">
        <f>SUM(K408:K416)</f>
        <v>1969890.2464753913</v>
      </c>
      <c r="L417" s="540"/>
      <c r="M417" s="356">
        <f>SUM(M408:M416)</f>
        <v>1914789.5349275647</v>
      </c>
      <c r="N417" s="540"/>
      <c r="O417" s="356">
        <f>SUM(O408:O416)</f>
        <v>1852678.9259809845</v>
      </c>
      <c r="P417" s="540"/>
      <c r="Q417" s="356">
        <f>SUM(Q408:Q416)</f>
        <v>1822678.9259809845</v>
      </c>
      <c r="R417" s="540"/>
    </row>
    <row r="418" spans="2:18" ht="16.5" hidden="1" thickBot="1" x14ac:dyDescent="0.3">
      <c r="B418" s="290">
        <v>703</v>
      </c>
      <c r="C418" s="315">
        <v>2.5000000000000001E-3</v>
      </c>
      <c r="D418" s="316" t="s">
        <v>489</v>
      </c>
      <c r="E418" s="317">
        <f>(E417-E413-E416)*$C418</f>
        <v>5188.0511711432646</v>
      </c>
      <c r="F418" s="542"/>
      <c r="G418" s="317">
        <f>(G417-G413-G416)*$C418</f>
        <v>5088.6824790620249</v>
      </c>
      <c r="H418" s="542"/>
      <c r="I418" s="317">
        <f>(I417-I413-I416)*$C418</f>
        <v>5015.257337130075</v>
      </c>
      <c r="J418" s="542"/>
      <c r="K418" s="317">
        <f>(K417-K413-K416)*$C418</f>
        <v>4849.7256161884789</v>
      </c>
      <c r="L418" s="542"/>
      <c r="M418" s="317">
        <f>(M417-M413-M416)*$C418</f>
        <v>4711.973837318912</v>
      </c>
      <c r="N418" s="542"/>
      <c r="O418" s="317">
        <f>(O417-O413-O416)*$C418</f>
        <v>4556.6973149524611</v>
      </c>
      <c r="P418" s="542"/>
      <c r="Q418" s="317">
        <f>(Q417-Q413-Q416)*$C418</f>
        <v>4556.6973149524611</v>
      </c>
      <c r="R418" s="542"/>
    </row>
    <row r="419" spans="2:18" ht="16.5" hidden="1" thickBot="1" x14ac:dyDescent="0.3">
      <c r="B419" s="290">
        <v>707</v>
      </c>
      <c r="C419" s="319">
        <v>0.03</v>
      </c>
      <c r="D419" s="290" t="s">
        <v>466</v>
      </c>
      <c r="E419" s="317">
        <f>(E417-E413-E416)*$C419</f>
        <v>62256.614053719175</v>
      </c>
      <c r="F419" s="542"/>
      <c r="G419" s="317">
        <f>(G417-G413-G416)*$C419</f>
        <v>61064.189748744298</v>
      </c>
      <c r="H419" s="542"/>
      <c r="I419" s="317">
        <f>(I417-I413-I416)*$C419</f>
        <v>60183.0880455609</v>
      </c>
      <c r="J419" s="542"/>
      <c r="K419" s="317">
        <f>(K417-K413-K416)*$C419</f>
        <v>58196.707394261735</v>
      </c>
      <c r="L419" s="542"/>
      <c r="M419" s="317">
        <f>(M417-M413-M416)*$C419</f>
        <v>56543.686047826937</v>
      </c>
      <c r="N419" s="542"/>
      <c r="O419" s="317">
        <f>(O417-O413-O416)*$C419</f>
        <v>54680.367779429529</v>
      </c>
      <c r="P419" s="542"/>
      <c r="Q419" s="317">
        <f>(Q417-Q413-Q416)*$C419</f>
        <v>54680.367779429529</v>
      </c>
      <c r="R419" s="542"/>
    </row>
    <row r="420" spans="2:18" ht="16.5" hidden="1" thickBot="1" x14ac:dyDescent="0.3">
      <c r="B420" s="290">
        <v>709</v>
      </c>
      <c r="C420" s="543">
        <f>C366</f>
        <v>1.5E-3</v>
      </c>
      <c r="D420" s="290" t="s">
        <v>467</v>
      </c>
      <c r="E420" s="317">
        <f>(E417-E413-E416)*$C420</f>
        <v>3112.8307026859588</v>
      </c>
      <c r="F420" s="542"/>
      <c r="G420" s="317">
        <f>(G417-G413-G416)*$C420</f>
        <v>3053.2094874372151</v>
      </c>
      <c r="H420" s="542"/>
      <c r="I420" s="317">
        <f>(I417-I413-I416)*$C420</f>
        <v>3009.1544022780454</v>
      </c>
      <c r="J420" s="542"/>
      <c r="K420" s="317">
        <f>(K417-K413-K416)*$C420</f>
        <v>2909.8353697130869</v>
      </c>
      <c r="L420" s="542"/>
      <c r="M420" s="317">
        <f>(M417-M413-M416)*$C420</f>
        <v>2827.184302391347</v>
      </c>
      <c r="N420" s="542"/>
      <c r="O420" s="317">
        <f>(O417-O413-O416)*$C420</f>
        <v>2734.0183889714767</v>
      </c>
      <c r="P420" s="542"/>
      <c r="Q420" s="317">
        <f>(Q417-Q413-Q416)*$C420</f>
        <v>2734.0183889714767</v>
      </c>
      <c r="R420" s="542"/>
    </row>
    <row r="421" spans="2:18" ht="16.5" hidden="1" thickBot="1" x14ac:dyDescent="0.3">
      <c r="B421" s="290">
        <v>713</v>
      </c>
      <c r="C421" s="321">
        <v>7.0000000000000001E-3</v>
      </c>
      <c r="D421" s="290" t="s">
        <v>468</v>
      </c>
      <c r="E421" s="317">
        <f>(E417-E413-E416)*$C421</f>
        <v>14526.543279201142</v>
      </c>
      <c r="F421" s="542"/>
      <c r="G421" s="317">
        <f>(G417-G413-G416)*$C421</f>
        <v>14248.310941373671</v>
      </c>
      <c r="H421" s="542"/>
      <c r="I421" s="317">
        <f>(I417-I413-I416)*$C421</f>
        <v>14042.720543964211</v>
      </c>
      <c r="J421" s="542"/>
      <c r="K421" s="317">
        <f>(K417-K413-K416)*$C421</f>
        <v>13579.23172532774</v>
      </c>
      <c r="L421" s="542"/>
      <c r="M421" s="317">
        <f>(M417-M413-M416)*$C421</f>
        <v>13193.526744492952</v>
      </c>
      <c r="N421" s="542"/>
      <c r="O421" s="317">
        <f>(O417-O413-O416)*$C421</f>
        <v>12758.752481866892</v>
      </c>
      <c r="P421" s="542"/>
      <c r="Q421" s="317">
        <f>(Q417-Q413-Q416)*$C421</f>
        <v>12758.752481866892</v>
      </c>
      <c r="R421" s="542"/>
    </row>
    <row r="422" spans="2:18" ht="16.5" hidden="1" thickBot="1" x14ac:dyDescent="0.3">
      <c r="B422" s="290">
        <v>787</v>
      </c>
      <c r="C422" s="319">
        <f>C368</f>
        <v>0.01</v>
      </c>
      <c r="D422" s="290" t="s">
        <v>469</v>
      </c>
      <c r="E422" s="317">
        <f>(E417-E413-E416)*$C422</f>
        <v>20752.204684573058</v>
      </c>
      <c r="F422" s="542"/>
      <c r="G422" s="317">
        <f>(G417-G413-G416)*$C422</f>
        <v>20354.729916248099</v>
      </c>
      <c r="H422" s="542"/>
      <c r="I422" s="317">
        <f>(I417-I413-I416)*$C422</f>
        <v>20061.0293485203</v>
      </c>
      <c r="J422" s="542"/>
      <c r="K422" s="317">
        <f>(K417-K413-K416)*$C422</f>
        <v>19398.902464753915</v>
      </c>
      <c r="L422" s="542"/>
      <c r="M422" s="317">
        <f>(M417-M413-M416)*$C422</f>
        <v>18847.895349275648</v>
      </c>
      <c r="N422" s="542"/>
      <c r="O422" s="317">
        <f>(O417-O413-O416)*$C422</f>
        <v>18226.789259809844</v>
      </c>
      <c r="P422" s="542"/>
      <c r="Q422" s="317">
        <f>(Q417-Q413-Q416)*$C422</f>
        <v>18226.789259809844</v>
      </c>
      <c r="R422" s="542"/>
    </row>
    <row r="423" spans="2:18" ht="16.5" hidden="1" thickBot="1" x14ac:dyDescent="0.3">
      <c r="B423" s="290"/>
      <c r="C423" s="290"/>
      <c r="D423" s="290" t="s">
        <v>470</v>
      </c>
      <c r="E423" s="544">
        <f>E369</f>
        <v>0</v>
      </c>
      <c r="F423" s="542"/>
      <c r="G423" s="544">
        <f>G369</f>
        <v>0</v>
      </c>
      <c r="H423" s="542"/>
      <c r="I423" s="544">
        <f>I369</f>
        <v>0</v>
      </c>
      <c r="J423" s="542"/>
      <c r="K423" s="544">
        <f>K369</f>
        <v>0</v>
      </c>
      <c r="L423" s="542"/>
      <c r="M423" s="544">
        <f>M369</f>
        <v>0</v>
      </c>
      <c r="N423" s="542"/>
      <c r="O423" s="544">
        <f>O369</f>
        <v>0</v>
      </c>
      <c r="P423" s="542"/>
      <c r="Q423" s="544">
        <f>Q369</f>
        <v>0</v>
      </c>
      <c r="R423" s="542"/>
    </row>
    <row r="424" spans="2:18" ht="16.5" hidden="1" thickBot="1" x14ac:dyDescent="0.3">
      <c r="B424" s="290"/>
      <c r="C424" s="290"/>
      <c r="D424" s="323" t="s">
        <v>471</v>
      </c>
      <c r="E424" s="473">
        <f>SUM(E418:E423)</f>
        <v>105836.24389132261</v>
      </c>
      <c r="F424" s="542"/>
      <c r="G424" s="473">
        <f>SUM(G418:G423)</f>
        <v>103809.12257286531</v>
      </c>
      <c r="H424" s="542"/>
      <c r="I424" s="473">
        <f>SUM(I418:I423)</f>
        <v>102311.24967745354</v>
      </c>
      <c r="J424" s="542"/>
      <c r="K424" s="473">
        <f>SUM(K418:K423)</f>
        <v>98934.402570244958</v>
      </c>
      <c r="L424" s="542"/>
      <c r="M424" s="473">
        <f>SUM(M418:M423)</f>
        <v>96124.266281305783</v>
      </c>
      <c r="N424" s="542"/>
      <c r="O424" s="473">
        <f>SUM(O418:O423)</f>
        <v>92956.625225030206</v>
      </c>
      <c r="P424" s="542"/>
      <c r="Q424" s="473">
        <f>SUM(Q418:Q423)</f>
        <v>92956.625225030206</v>
      </c>
      <c r="R424" s="542"/>
    </row>
    <row r="425" spans="2:18" ht="16.5" hidden="1" thickBot="1" x14ac:dyDescent="0.3">
      <c r="B425" s="323"/>
      <c r="C425" s="323"/>
      <c r="D425" s="290"/>
      <c r="E425" s="326"/>
      <c r="F425" s="542"/>
      <c r="G425" s="326"/>
      <c r="H425" s="542"/>
      <c r="I425" s="326"/>
      <c r="J425" s="542"/>
      <c r="K425" s="326"/>
      <c r="L425" s="542"/>
      <c r="M425" s="326"/>
      <c r="N425" s="542"/>
      <c r="O425" s="326"/>
      <c r="P425" s="542"/>
      <c r="Q425" s="326"/>
      <c r="R425" s="542"/>
    </row>
    <row r="426" spans="2:18" ht="27" hidden="1" thickBot="1" x14ac:dyDescent="0.45">
      <c r="B426" s="298"/>
      <c r="C426" s="298"/>
      <c r="D426" s="327" t="s">
        <v>472</v>
      </c>
      <c r="E426" s="545">
        <f>E417-E424</f>
        <v>1999384.2245659833</v>
      </c>
      <c r="F426" s="546"/>
      <c r="G426" s="545">
        <f>G417-G424</f>
        <v>1961663.8690519447</v>
      </c>
      <c r="H426" s="546"/>
      <c r="I426" s="545">
        <f>I417-I424</f>
        <v>1933791.6851745765</v>
      </c>
      <c r="J426" s="546"/>
      <c r="K426" s="545">
        <f>K417-K424</f>
        <v>1870955.8439051465</v>
      </c>
      <c r="L426" s="546"/>
      <c r="M426" s="545">
        <f>M417-M424</f>
        <v>1818665.2686462589</v>
      </c>
      <c r="N426" s="546"/>
      <c r="O426" s="545">
        <f>O417-O424</f>
        <v>1759722.3007559543</v>
      </c>
      <c r="P426" s="546"/>
      <c r="Q426" s="545">
        <f>Q417-Q424</f>
        <v>1729722.3007559543</v>
      </c>
      <c r="R426" s="546"/>
    </row>
    <row r="427" spans="2:18" ht="18.75" hidden="1" thickBot="1" x14ac:dyDescent="0.3">
      <c r="B427" s="298"/>
      <c r="C427" s="298"/>
      <c r="D427" s="432" t="s">
        <v>444</v>
      </c>
      <c r="E427" s="433">
        <f>(E417-E413-E416)*0.03</f>
        <v>62256.614053719175</v>
      </c>
      <c r="F427" s="432"/>
      <c r="G427" s="433">
        <f>(G417-G413-G416)*0.03</f>
        <v>61064.189748744298</v>
      </c>
      <c r="H427" s="432"/>
      <c r="I427" s="433">
        <f>(I417-I413-I416)*0.03</f>
        <v>60183.0880455609</v>
      </c>
      <c r="J427" s="432"/>
      <c r="K427" s="433">
        <f>(K417-K413-K416)*0.03</f>
        <v>58196.707394261735</v>
      </c>
      <c r="L427" s="432"/>
      <c r="M427" s="433">
        <f>(M417-M413-M416)*0.03</f>
        <v>56543.686047826937</v>
      </c>
      <c r="N427" s="432"/>
      <c r="O427" s="433">
        <f>(O417-O413-O416)*0.03</f>
        <v>54680.367779429529</v>
      </c>
      <c r="P427" s="432"/>
      <c r="Q427" s="433">
        <f>(Q417-Q413-Q416)*0.03</f>
        <v>54680.367779429529</v>
      </c>
      <c r="R427" s="432"/>
    </row>
    <row r="428" spans="2:18" ht="24" hidden="1" thickBot="1" x14ac:dyDescent="0.4">
      <c r="B428" s="298"/>
      <c r="C428" s="298"/>
      <c r="D428" s="434" t="s">
        <v>445</v>
      </c>
      <c r="E428" s="431">
        <f>E426-E427</f>
        <v>1937127.6105122641</v>
      </c>
      <c r="F428" s="432"/>
      <c r="G428" s="431">
        <f>G426-G427</f>
        <v>1900599.6793032004</v>
      </c>
      <c r="H428" s="432"/>
      <c r="I428" s="431">
        <f>I426-I427</f>
        <v>1873608.5971290155</v>
      </c>
      <c r="J428" s="432"/>
      <c r="K428" s="431">
        <f>K426-K427</f>
        <v>1812759.1365108846</v>
      </c>
      <c r="L428" s="432"/>
      <c r="M428" s="431">
        <f>M426-M427</f>
        <v>1762121.582598432</v>
      </c>
      <c r="N428" s="432"/>
      <c r="O428" s="431">
        <f>O426-O427</f>
        <v>1705041.9329765248</v>
      </c>
      <c r="P428" s="432"/>
      <c r="Q428" s="431">
        <f>Q426-Q427</f>
        <v>1675041.9329765248</v>
      </c>
      <c r="R428" s="432"/>
    </row>
    <row r="429" spans="2:18" ht="16.5" hidden="1" thickBot="1" x14ac:dyDescent="0.3">
      <c r="B429" s="298"/>
      <c r="C429" s="298"/>
      <c r="D429" s="331"/>
      <c r="E429" s="331"/>
      <c r="F429" s="542"/>
      <c r="G429" s="331"/>
      <c r="H429" s="542"/>
      <c r="I429" s="331"/>
      <c r="J429" s="542"/>
      <c r="K429" s="331"/>
      <c r="L429" s="542"/>
      <c r="M429" s="331"/>
      <c r="N429" s="542"/>
      <c r="O429" s="331"/>
      <c r="P429" s="542"/>
      <c r="Q429" s="331"/>
      <c r="R429" s="542"/>
    </row>
    <row r="430" spans="2:18" ht="18.75" hidden="1" thickBot="1" x14ac:dyDescent="0.3">
      <c r="B430" s="290"/>
      <c r="C430" s="290"/>
      <c r="D430" s="336" t="s">
        <v>473</v>
      </c>
      <c r="E430" s="337">
        <f>E426-G426</f>
        <v>37720.355514038587</v>
      </c>
      <c r="F430" s="548"/>
      <c r="G430" s="337">
        <f>G426-I426</f>
        <v>27872.183877368225</v>
      </c>
      <c r="H430" s="548"/>
      <c r="I430" s="337">
        <f>I426-K426</f>
        <v>62835.841269430006</v>
      </c>
      <c r="J430" s="548"/>
      <c r="K430" s="337">
        <f>K426-M426</f>
        <v>52290.575258887606</v>
      </c>
      <c r="L430" s="548"/>
      <c r="M430" s="337">
        <f>M426-O426</f>
        <v>58942.967890304513</v>
      </c>
      <c r="N430" s="548"/>
      <c r="O430" s="337">
        <f>O426-Q426</f>
        <v>30000</v>
      </c>
      <c r="P430" s="548"/>
      <c r="Q430" s="337"/>
      <c r="R430" s="548"/>
    </row>
    <row r="431" spans="2:18" ht="18.75" hidden="1" thickBot="1" x14ac:dyDescent="0.3">
      <c r="B431" s="290"/>
      <c r="C431" s="290"/>
      <c r="D431" s="336" t="s">
        <v>474</v>
      </c>
      <c r="E431" s="340">
        <f>E430/G426</f>
        <v>1.9228755807318056E-2</v>
      </c>
      <c r="F431" s="547"/>
      <c r="G431" s="340">
        <f>G430/I426</f>
        <v>1.4413229765672518E-2</v>
      </c>
      <c r="H431" s="547"/>
      <c r="I431" s="340">
        <f>I430/K426</f>
        <v>3.358488735804481E-2</v>
      </c>
      <c r="J431" s="547"/>
      <c r="K431" s="340">
        <f>K430/M426</f>
        <v>2.8752171254587493E-2</v>
      </c>
      <c r="L431" s="547"/>
      <c r="M431" s="340">
        <f>M430/O426</f>
        <v>3.3495607724572996E-2</v>
      </c>
      <c r="N431" s="547"/>
      <c r="O431" s="340">
        <f>O430/Q426</f>
        <v>1.7343824489566249E-2</v>
      </c>
      <c r="P431" s="547"/>
      <c r="Q431" s="340"/>
      <c r="R431" s="547"/>
    </row>
    <row r="432" spans="2:18" ht="16.5" hidden="1" thickBot="1" x14ac:dyDescent="0.3">
      <c r="B432" s="290"/>
      <c r="C432" s="290"/>
      <c r="D432" s="346"/>
      <c r="E432" s="290"/>
      <c r="F432" s="550"/>
      <c r="G432" s="290"/>
      <c r="H432" s="550"/>
      <c r="I432" s="290"/>
      <c r="J432" s="550"/>
      <c r="K432" s="290"/>
      <c r="L432" s="550"/>
      <c r="M432" s="290"/>
      <c r="N432" s="550"/>
      <c r="O432" s="290"/>
      <c r="P432" s="550"/>
      <c r="Q432" s="549"/>
      <c r="R432" s="550"/>
    </row>
    <row r="433" spans="2:18" ht="18.75" hidden="1" thickBot="1" x14ac:dyDescent="0.3">
      <c r="B433" s="290"/>
      <c r="C433" s="290"/>
      <c r="D433" s="250" t="s">
        <v>446</v>
      </c>
      <c r="E433" s="341">
        <f>E428-G428</f>
        <v>36527.931209063623</v>
      </c>
      <c r="F433" s="479"/>
      <c r="G433" s="341">
        <f>G428-I428</f>
        <v>26991.082174184965</v>
      </c>
      <c r="H433" s="479"/>
      <c r="I433" s="341">
        <f>I428-K428</f>
        <v>60849.460618130863</v>
      </c>
      <c r="J433" s="479"/>
      <c r="K433" s="341">
        <f>K428-M428</f>
        <v>50637.553912452655</v>
      </c>
      <c r="L433" s="479"/>
      <c r="M433" s="341">
        <f>M428-O428</f>
        <v>57079.649621907156</v>
      </c>
      <c r="N433" s="479"/>
      <c r="O433" s="341">
        <f>O428-Q428</f>
        <v>30000</v>
      </c>
      <c r="P433" s="479"/>
      <c r="Q433" s="341"/>
      <c r="R433" s="479"/>
    </row>
    <row r="434" spans="2:18" ht="18.75" hidden="1" thickBot="1" x14ac:dyDescent="0.3">
      <c r="B434" s="290"/>
      <c r="C434" s="290"/>
      <c r="D434" s="250" t="s">
        <v>447</v>
      </c>
      <c r="E434" s="342">
        <f>E433/G428</f>
        <v>1.9219160987365591E-2</v>
      </c>
      <c r="F434" s="479"/>
      <c r="G434" s="342">
        <f>G433/I428</f>
        <v>1.4405934203944292E-2</v>
      </c>
      <c r="H434" s="479"/>
      <c r="I434" s="342">
        <f>I433/K428</f>
        <v>3.3567317021085938E-2</v>
      </c>
      <c r="J434" s="479"/>
      <c r="K434" s="342">
        <f>K433/M428</f>
        <v>2.8736696952421582E-2</v>
      </c>
      <c r="L434" s="479"/>
      <c r="M434" s="342">
        <f>M433/O428</f>
        <v>3.3476977027926874E-2</v>
      </c>
      <c r="N434" s="479"/>
      <c r="O434" s="342">
        <f>O433/Q428</f>
        <v>1.7909999391293115E-2</v>
      </c>
      <c r="P434" s="479"/>
      <c r="Q434" s="342"/>
      <c r="R434" s="479"/>
    </row>
    <row r="435" spans="2:18" ht="16.5" hidden="1" thickBot="1" x14ac:dyDescent="0.3">
      <c r="B435" s="290"/>
      <c r="C435" s="290"/>
      <c r="D435" s="290"/>
      <c r="E435" s="290"/>
      <c r="F435" s="542"/>
      <c r="G435" s="290"/>
      <c r="H435" s="542"/>
      <c r="I435" s="290"/>
      <c r="J435" s="542"/>
      <c r="K435" s="290"/>
      <c r="L435" s="542"/>
      <c r="M435" s="290"/>
      <c r="N435" s="542"/>
      <c r="O435" s="290"/>
      <c r="P435" s="542"/>
      <c r="Q435" s="290"/>
      <c r="R435" s="542"/>
    </row>
    <row r="436" spans="2:18" ht="18.75" hidden="1" thickBot="1" x14ac:dyDescent="0.3">
      <c r="B436" s="290"/>
      <c r="C436" s="290"/>
      <c r="D436" s="261" t="s">
        <v>475</v>
      </c>
      <c r="E436" s="343">
        <f>E426-$Q426</f>
        <v>269661.92381002894</v>
      </c>
      <c r="F436" s="548"/>
      <c r="G436" s="343">
        <f>G426-$Q426</f>
        <v>231941.56829599035</v>
      </c>
      <c r="H436" s="548"/>
      <c r="I436" s="343">
        <f>I426-$Q426</f>
        <v>204069.38441862212</v>
      </c>
      <c r="J436" s="548"/>
      <c r="K436" s="343">
        <f>K426-$Q426</f>
        <v>141233.54314919212</v>
      </c>
      <c r="L436" s="548"/>
      <c r="M436" s="343">
        <f>M426-$Q426</f>
        <v>88942.967890304513</v>
      </c>
      <c r="N436" s="548"/>
      <c r="O436" s="343">
        <f>O426-$Q426</f>
        <v>30000</v>
      </c>
      <c r="P436" s="548"/>
      <c r="Q436" s="343"/>
      <c r="R436" s="548"/>
    </row>
    <row r="437" spans="2:18" ht="18.75" hidden="1" thickBot="1" x14ac:dyDescent="0.3">
      <c r="B437" s="335"/>
      <c r="C437" s="290"/>
      <c r="D437" s="261" t="s">
        <v>491</v>
      </c>
      <c r="E437" s="345">
        <f>E436/$Q426</f>
        <v>0.15589896926933094</v>
      </c>
      <c r="F437" s="542"/>
      <c r="G437" s="345">
        <f>G436/$Q426</f>
        <v>0.13409179507868002</v>
      </c>
      <c r="H437" s="542"/>
      <c r="I437" s="345">
        <f>I436/$Q426</f>
        <v>0.11797811956834693</v>
      </c>
      <c r="J437" s="542"/>
      <c r="K437" s="345">
        <f>K436/$Q426</f>
        <v>8.165099281397234E-2</v>
      </c>
      <c r="L437" s="542"/>
      <c r="M437" s="345">
        <f>M436/$Q426</f>
        <v>5.1420374155685601E-2</v>
      </c>
      <c r="N437" s="542"/>
      <c r="O437" s="345">
        <f>O436/$Q426</f>
        <v>1.7343824489566249E-2</v>
      </c>
      <c r="P437" s="542"/>
      <c r="Q437" s="551"/>
      <c r="R437" s="542"/>
    </row>
    <row r="438" spans="2:18" ht="16.5" hidden="1" thickBot="1" x14ac:dyDescent="0.3">
      <c r="B438" s="290"/>
      <c r="C438" s="290"/>
      <c r="D438" s="346"/>
      <c r="E438" s="347"/>
      <c r="F438" s="542"/>
      <c r="G438" s="347"/>
      <c r="H438" s="542"/>
      <c r="I438" s="347"/>
      <c r="J438" s="542"/>
      <c r="K438" s="347"/>
      <c r="L438" s="542"/>
      <c r="M438" s="347"/>
      <c r="N438" s="542"/>
      <c r="O438" s="347"/>
      <c r="P438" s="542"/>
      <c r="Q438" s="347"/>
      <c r="R438" s="542"/>
    </row>
    <row r="439" spans="2:18" ht="18.75" hidden="1" thickBot="1" x14ac:dyDescent="0.3">
      <c r="B439" s="290"/>
      <c r="C439" s="290"/>
      <c r="D439" s="261" t="s">
        <v>448</v>
      </c>
      <c r="E439" s="343">
        <f>E428-$Q428</f>
        <v>262085.67753573926</v>
      </c>
      <c r="F439" s="262"/>
      <c r="G439" s="343">
        <f>G428-$Q428</f>
        <v>225557.74632667564</v>
      </c>
      <c r="H439" s="262"/>
      <c r="I439" s="343">
        <f>I428-$Q428</f>
        <v>198566.66415249067</v>
      </c>
      <c r="J439" s="262"/>
      <c r="K439" s="343">
        <f>K428-$Q428</f>
        <v>137717.20353435981</v>
      </c>
      <c r="L439" s="262"/>
      <c r="M439" s="343">
        <f>M428-$Q428</f>
        <v>87079.649621907156</v>
      </c>
      <c r="N439" s="262"/>
      <c r="O439" s="343">
        <f>O428-$Q428</f>
        <v>30000</v>
      </c>
      <c r="P439" s="262"/>
      <c r="Q439" s="343"/>
      <c r="R439" s="262"/>
    </row>
    <row r="440" spans="2:18" ht="18.75" hidden="1" thickBot="1" x14ac:dyDescent="0.3">
      <c r="B440" s="290"/>
      <c r="C440" s="290"/>
      <c r="D440" s="261" t="s">
        <v>449</v>
      </c>
      <c r="E440" s="345">
        <f>E439/$Q428</f>
        <v>0.15646514417105778</v>
      </c>
      <c r="F440" s="262"/>
      <c r="G440" s="345">
        <f>G439/$Q428</f>
        <v>0.13465796998040691</v>
      </c>
      <c r="H440" s="262"/>
      <c r="I440" s="345">
        <f>I439/$Q428</f>
        <v>0.11854429447007374</v>
      </c>
      <c r="J440" s="262"/>
      <c r="K440" s="345">
        <f>K439/$Q428</f>
        <v>8.2217167715699133E-2</v>
      </c>
      <c r="L440" s="262"/>
      <c r="M440" s="345">
        <f>M439/$Q428</f>
        <v>5.1986549057412491E-2</v>
      </c>
      <c r="N440" s="262"/>
      <c r="O440" s="345">
        <f>O439/$Q428</f>
        <v>1.7909999391293115E-2</v>
      </c>
      <c r="P440" s="262"/>
      <c r="Q440" s="551"/>
      <c r="R440" s="262"/>
    </row>
    <row r="441" spans="2:18" ht="16.5" hidden="1" thickBot="1" x14ac:dyDescent="0.3">
      <c r="B441" s="290"/>
      <c r="C441" s="290"/>
      <c r="D441" s="346"/>
      <c r="E441" s="347"/>
      <c r="F441" s="262"/>
      <c r="G441" s="347"/>
      <c r="H441" s="262"/>
      <c r="I441" s="347"/>
      <c r="J441" s="262"/>
      <c r="K441" s="347"/>
      <c r="L441" s="262"/>
      <c r="M441" s="347"/>
      <c r="N441" s="262"/>
      <c r="O441" s="347"/>
      <c r="P441" s="262"/>
      <c r="Q441" s="347"/>
      <c r="R441" s="262"/>
    </row>
    <row r="442" spans="2:18" ht="21" hidden="1" thickBot="1" x14ac:dyDescent="0.35">
      <c r="B442" s="290"/>
      <c r="C442" s="290"/>
      <c r="D442" s="351" t="s">
        <v>477</v>
      </c>
      <c r="E442" s="351"/>
      <c r="F442" s="353"/>
      <c r="G442" s="351"/>
      <c r="H442" s="353"/>
      <c r="I442" s="351"/>
      <c r="J442" s="353"/>
      <c r="K442" s="351"/>
      <c r="L442" s="353"/>
      <c r="M442" s="351"/>
      <c r="N442" s="353"/>
      <c r="O442" s="351"/>
      <c r="P442" s="353"/>
      <c r="Q442" s="351"/>
      <c r="R442" s="353"/>
    </row>
    <row r="443" spans="2:18" ht="16.5" hidden="1" thickBot="1" x14ac:dyDescent="0.3">
      <c r="B443" s="290"/>
      <c r="C443" s="290"/>
      <c r="D443" s="354"/>
      <c r="E443" s="354"/>
      <c r="F443" s="355"/>
      <c r="G443" s="354"/>
      <c r="H443" s="355"/>
      <c r="I443" s="354"/>
      <c r="J443" s="355"/>
      <c r="K443" s="354"/>
      <c r="L443" s="355"/>
      <c r="M443" s="354"/>
      <c r="N443" s="355"/>
      <c r="O443" s="354"/>
      <c r="P443" s="355"/>
      <c r="Q443" s="354"/>
      <c r="R443" s="355"/>
    </row>
    <row r="444" spans="2:18" ht="16.5" hidden="1" thickBot="1" x14ac:dyDescent="0.3">
      <c r="B444" s="290"/>
      <c r="C444" s="290"/>
      <c r="D444" s="356" t="s">
        <v>478</v>
      </c>
      <c r="E444" s="356">
        <f>E417*0.5</f>
        <v>1052610.2342286529</v>
      </c>
      <c r="F444" s="357"/>
      <c r="G444" s="356">
        <f>G417*0.5</f>
        <v>1032736.495812405</v>
      </c>
      <c r="H444" s="357"/>
      <c r="I444" s="356">
        <f>I417*0.5</f>
        <v>1018051.4674260151</v>
      </c>
      <c r="J444" s="357"/>
      <c r="K444" s="356">
        <f>K417*0.5</f>
        <v>984945.12323769566</v>
      </c>
      <c r="L444" s="357"/>
      <c r="M444" s="356">
        <f>M417*0.5</f>
        <v>957394.76746378234</v>
      </c>
      <c r="N444" s="357"/>
      <c r="O444" s="356">
        <f>O417*0.5</f>
        <v>926339.46299049223</v>
      </c>
      <c r="P444" s="357"/>
      <c r="Q444" s="356">
        <f>Q417*0.5</f>
        <v>911339.46299049223</v>
      </c>
      <c r="R444" s="357"/>
    </row>
    <row r="445" spans="2:18" ht="16.5" hidden="1" thickBot="1" x14ac:dyDescent="0.3">
      <c r="B445" s="290"/>
      <c r="C445" s="290"/>
      <c r="D445" s="354"/>
      <c r="E445" s="290"/>
      <c r="F445" s="355"/>
      <c r="G445" s="290"/>
      <c r="H445" s="355"/>
      <c r="I445" s="290"/>
      <c r="J445" s="355"/>
      <c r="K445" s="290"/>
      <c r="L445" s="355"/>
      <c r="M445" s="290"/>
      <c r="N445" s="355"/>
      <c r="O445" s="290"/>
      <c r="P445" s="355"/>
      <c r="Q445" s="290"/>
      <c r="R445" s="355"/>
    </row>
    <row r="446" spans="2:18" ht="16.5" hidden="1" thickBot="1" x14ac:dyDescent="0.3">
      <c r="B446" s="290"/>
      <c r="C446" s="290"/>
      <c r="D446" s="356" t="s">
        <v>471</v>
      </c>
      <c r="E446" s="290"/>
      <c r="F446" s="357"/>
      <c r="G446" s="290"/>
      <c r="H446" s="357"/>
      <c r="I446" s="290"/>
      <c r="J446" s="357"/>
      <c r="K446" s="290"/>
      <c r="L446" s="357"/>
      <c r="M446" s="290"/>
      <c r="N446" s="357"/>
      <c r="O446" s="290"/>
      <c r="P446" s="357"/>
      <c r="Q446" s="290"/>
      <c r="R446" s="357"/>
    </row>
    <row r="447" spans="2:18" ht="16.5" hidden="1" thickBot="1" x14ac:dyDescent="0.3">
      <c r="B447" s="290">
        <v>703</v>
      </c>
      <c r="C447" s="315">
        <v>2.5000000000000001E-3</v>
      </c>
      <c r="D447" s="316" t="s">
        <v>465</v>
      </c>
      <c r="E447" s="317">
        <f>E444*0.0025</f>
        <v>2631.5255855716323</v>
      </c>
      <c r="F447" s="318"/>
      <c r="G447" s="317">
        <f>G444*0.0025</f>
        <v>2581.8412395310124</v>
      </c>
      <c r="H447" s="318"/>
      <c r="I447" s="317">
        <f>I444*0.0025</f>
        <v>2545.1286685650375</v>
      </c>
      <c r="J447" s="318"/>
      <c r="K447" s="317">
        <f>K444*0.0025</f>
        <v>2462.3628080942394</v>
      </c>
      <c r="L447" s="318"/>
      <c r="M447" s="317">
        <f>M444*0.0025</f>
        <v>2393.486918659456</v>
      </c>
      <c r="N447" s="318"/>
      <c r="O447" s="317">
        <f>O444*0.0025</f>
        <v>2315.8486574762305</v>
      </c>
      <c r="P447" s="318"/>
      <c r="Q447" s="317">
        <f>Q444*0.0025</f>
        <v>2278.3486574762305</v>
      </c>
      <c r="R447" s="318"/>
    </row>
    <row r="448" spans="2:18" ht="16.5" hidden="1" thickBot="1" x14ac:dyDescent="0.3">
      <c r="B448" s="290">
        <v>707</v>
      </c>
      <c r="C448" s="319">
        <v>0.03</v>
      </c>
      <c r="D448" s="290" t="s">
        <v>466</v>
      </c>
      <c r="E448" s="317">
        <f>E444*0.03</f>
        <v>31578.307026859587</v>
      </c>
      <c r="F448" s="252"/>
      <c r="G448" s="317">
        <f>G444*0.03</f>
        <v>30982.094874372149</v>
      </c>
      <c r="H448" s="252"/>
      <c r="I448" s="317">
        <f>I444*0.03</f>
        <v>30541.54402278045</v>
      </c>
      <c r="J448" s="252"/>
      <c r="K448" s="317">
        <f>K444*0.03</f>
        <v>29548.353697130868</v>
      </c>
      <c r="L448" s="252"/>
      <c r="M448" s="317">
        <f>M444*0.03</f>
        <v>28721.843023913469</v>
      </c>
      <c r="N448" s="252"/>
      <c r="O448" s="317">
        <f>O444*0.03</f>
        <v>27790.183889714765</v>
      </c>
      <c r="P448" s="252"/>
      <c r="Q448" s="317">
        <f>Q444*0.03</f>
        <v>27340.183889714765</v>
      </c>
      <c r="R448" s="252"/>
    </row>
    <row r="449" spans="2:19" ht="16.5" hidden="1" thickBot="1" x14ac:dyDescent="0.3">
      <c r="B449" s="290">
        <v>709</v>
      </c>
      <c r="C449" s="320">
        <f>C395</f>
        <v>1.5E-3</v>
      </c>
      <c r="D449" s="290" t="s">
        <v>467</v>
      </c>
      <c r="E449" s="317">
        <f>E444*0.0015</f>
        <v>1578.9153513429794</v>
      </c>
      <c r="F449" s="252"/>
      <c r="G449" s="317">
        <f>G444*0.0015</f>
        <v>1549.1047437186076</v>
      </c>
      <c r="H449" s="252"/>
      <c r="I449" s="317">
        <f>I444*0.0015</f>
        <v>1527.0772011390227</v>
      </c>
      <c r="J449" s="252"/>
      <c r="K449" s="317">
        <f>K444*0.0015</f>
        <v>1477.4176848565435</v>
      </c>
      <c r="L449" s="252"/>
      <c r="M449" s="317">
        <f>M444*0.0015</f>
        <v>1436.0921511956735</v>
      </c>
      <c r="N449" s="252"/>
      <c r="O449" s="317">
        <f>O444*0.0015</f>
        <v>1389.5091944857384</v>
      </c>
      <c r="P449" s="252"/>
      <c r="Q449" s="317">
        <f>Q444*0.0015</f>
        <v>1367.0091944857384</v>
      </c>
      <c r="R449" s="252"/>
    </row>
    <row r="450" spans="2:19" ht="16.5" hidden="1" thickBot="1" x14ac:dyDescent="0.3">
      <c r="B450" s="290">
        <v>713</v>
      </c>
      <c r="C450" s="321">
        <v>7.0000000000000001E-3</v>
      </c>
      <c r="D450" s="290" t="s">
        <v>468</v>
      </c>
      <c r="E450" s="317">
        <f>E444*0.007</f>
        <v>7368.2716396005708</v>
      </c>
      <c r="F450" s="252"/>
      <c r="G450" s="317">
        <f>G444*0.007</f>
        <v>7229.1554706868355</v>
      </c>
      <c r="H450" s="252"/>
      <c r="I450" s="317">
        <f>I444*0.007</f>
        <v>7126.3602719821056</v>
      </c>
      <c r="J450" s="252"/>
      <c r="K450" s="317">
        <f>K444*0.007</f>
        <v>6894.6158626638698</v>
      </c>
      <c r="L450" s="252"/>
      <c r="M450" s="317">
        <f>M444*0.007</f>
        <v>6701.7633722464761</v>
      </c>
      <c r="N450" s="252"/>
      <c r="O450" s="317">
        <f>O444*0.007</f>
        <v>6484.3762409334458</v>
      </c>
      <c r="P450" s="252"/>
      <c r="Q450" s="317">
        <f>Q444*0.007</f>
        <v>6379.3762409334458</v>
      </c>
      <c r="R450" s="252"/>
    </row>
    <row r="451" spans="2:19" ht="16.5" hidden="1" thickBot="1" x14ac:dyDescent="0.3">
      <c r="B451" s="290">
        <v>787</v>
      </c>
      <c r="C451" s="319">
        <f>C368</f>
        <v>0.01</v>
      </c>
      <c r="D451" s="290" t="s">
        <v>469</v>
      </c>
      <c r="E451" s="317">
        <f>E444*0.01</f>
        <v>10526.102342286529</v>
      </c>
      <c r="F451" s="252"/>
      <c r="G451" s="317">
        <f>G444*0.01</f>
        <v>10327.36495812405</v>
      </c>
      <c r="H451" s="252"/>
      <c r="I451" s="317">
        <f>I444*0.01</f>
        <v>10180.51467426015</v>
      </c>
      <c r="J451" s="252"/>
      <c r="K451" s="317">
        <f>K444*0.01</f>
        <v>9849.4512323769577</v>
      </c>
      <c r="L451" s="252"/>
      <c r="M451" s="317">
        <f>M444*0.01</f>
        <v>9573.9476746378241</v>
      </c>
      <c r="N451" s="252"/>
      <c r="O451" s="317">
        <f>O444*0.01</f>
        <v>9263.3946299049221</v>
      </c>
      <c r="P451" s="252"/>
      <c r="Q451" s="317">
        <f>Q444*0.01</f>
        <v>9113.3946299049221</v>
      </c>
      <c r="R451" s="252"/>
    </row>
    <row r="452" spans="2:19" ht="16.5" hidden="1" thickBot="1" x14ac:dyDescent="0.3">
      <c r="B452" s="290"/>
      <c r="C452" s="290"/>
      <c r="D452" s="323" t="s">
        <v>479</v>
      </c>
      <c r="E452" s="324">
        <f>SUM(E447:E451)</f>
        <v>53683.121945661303</v>
      </c>
      <c r="F452" s="325"/>
      <c r="G452" s="324">
        <f>SUM(G447:G451)</f>
        <v>52669.561286432654</v>
      </c>
      <c r="H452" s="325"/>
      <c r="I452" s="324">
        <f>SUM(I447:I451)</f>
        <v>51920.62483872677</v>
      </c>
      <c r="J452" s="325"/>
      <c r="K452" s="324">
        <f>SUM(K447:K451)</f>
        <v>50232.201285122479</v>
      </c>
      <c r="L452" s="325"/>
      <c r="M452" s="324">
        <f>SUM(M447:M451)</f>
        <v>48827.133140652892</v>
      </c>
      <c r="N452" s="325"/>
      <c r="O452" s="324">
        <f>SUM(O447:O451)</f>
        <v>47243.312612515103</v>
      </c>
      <c r="P452" s="325"/>
      <c r="Q452" s="324">
        <f>SUM(Q447:Q451)</f>
        <v>46478.312612515103</v>
      </c>
      <c r="R452" s="325"/>
    </row>
    <row r="453" spans="2:19" ht="16.5" hidden="1" thickBot="1" x14ac:dyDescent="0.3">
      <c r="B453" s="290"/>
      <c r="C453" s="290"/>
      <c r="D453" s="290"/>
      <c r="E453" s="326"/>
      <c r="F453" s="252"/>
      <c r="G453" s="326"/>
      <c r="H453" s="252"/>
      <c r="I453" s="326"/>
      <c r="J453" s="252"/>
      <c r="K453" s="326"/>
      <c r="L453" s="252"/>
      <c r="M453" s="326"/>
      <c r="N453" s="252"/>
      <c r="O453" s="326"/>
      <c r="P453" s="252"/>
      <c r="Q453" s="326"/>
      <c r="R453" s="252"/>
    </row>
    <row r="454" spans="2:19" ht="21" hidden="1" thickBot="1" x14ac:dyDescent="0.35">
      <c r="B454" s="290"/>
      <c r="C454" s="290"/>
      <c r="D454" s="327" t="s">
        <v>472</v>
      </c>
      <c r="E454" s="358">
        <f>E444-E452</f>
        <v>998927.11228299164</v>
      </c>
      <c r="F454" s="359"/>
      <c r="G454" s="358">
        <f>G444-G452</f>
        <v>980066.93452597235</v>
      </c>
      <c r="H454" s="359"/>
      <c r="I454" s="358">
        <f>I444-I452</f>
        <v>966130.84258728824</v>
      </c>
      <c r="J454" s="359"/>
      <c r="K454" s="358">
        <f>K444-K452</f>
        <v>934712.92195257323</v>
      </c>
      <c r="L454" s="359"/>
      <c r="M454" s="358">
        <f>M444-M452</f>
        <v>908567.63432312943</v>
      </c>
      <c r="N454" s="359"/>
      <c r="O454" s="358">
        <f>O444-O452</f>
        <v>879096.15037797717</v>
      </c>
      <c r="P454" s="359"/>
      <c r="Q454" s="358">
        <f>Q444-Q452</f>
        <v>864861.15037797717</v>
      </c>
      <c r="R454" s="359"/>
    </row>
    <row r="455" spans="2:19" hidden="1" x14ac:dyDescent="0.25">
      <c r="D455" s="69"/>
      <c r="F455" s="121"/>
      <c r="H455" s="121"/>
      <c r="J455" s="121"/>
      <c r="L455" s="121"/>
      <c r="N455" s="121"/>
      <c r="P455" s="121"/>
      <c r="R455" s="121"/>
    </row>
    <row r="456" spans="2:19" ht="24" thickBot="1" x14ac:dyDescent="0.4">
      <c r="B456" s="552" t="s">
        <v>492</v>
      </c>
      <c r="D456" s="397"/>
      <c r="E456" s="21">
        <v>46357</v>
      </c>
      <c r="F456" s="22" cm="1">
        <f t="array" ref="F456">aumentodiciembre26</f>
        <v>0.14231041977499981</v>
      </c>
      <c r="G456" s="21">
        <v>46327</v>
      </c>
      <c r="H456" s="22" cm="1">
        <f t="array" ref="H456">aumentonoviembre26</f>
        <v>0.11991217624999972</v>
      </c>
      <c r="I456" s="21">
        <v>46266</v>
      </c>
      <c r="J456" s="22">
        <f>aumentoseptiembre26</f>
        <v>0.10336174999999992</v>
      </c>
      <c r="K456" s="21">
        <v>46204</v>
      </c>
      <c r="L456" s="22">
        <f>aumentojulio26</f>
        <v>6.6049999999999942E-2</v>
      </c>
      <c r="M456" s="21">
        <v>46143</v>
      </c>
      <c r="N456" s="22">
        <v>3.5000000000000003E-2</v>
      </c>
      <c r="O456" s="21">
        <v>46054</v>
      </c>
      <c r="P456" s="22">
        <v>0</v>
      </c>
      <c r="Q456" s="21">
        <v>45992</v>
      </c>
      <c r="R456" s="22"/>
    </row>
    <row r="457" spans="2:19" ht="16.5" thickTop="1" x14ac:dyDescent="0.25">
      <c r="B457" s="553" t="s">
        <v>493</v>
      </c>
      <c r="C457" s="554"/>
      <c r="D457" s="555"/>
      <c r="E457" s="556"/>
      <c r="F457" s="556"/>
      <c r="G457" s="556"/>
      <c r="H457" s="556"/>
      <c r="I457" s="556"/>
      <c r="J457" s="556"/>
      <c r="K457" s="556"/>
      <c r="L457" s="556"/>
      <c r="M457" s="556"/>
      <c r="N457" s="556"/>
      <c r="O457" s="556"/>
      <c r="P457" s="556"/>
      <c r="Q457" s="556"/>
      <c r="R457" s="556"/>
      <c r="S457" s="556"/>
    </row>
    <row r="458" spans="2:19" ht="15.75" x14ac:dyDescent="0.25">
      <c r="B458" s="557" t="s">
        <v>494</v>
      </c>
      <c r="C458" s="558"/>
      <c r="D458" s="559"/>
      <c r="E458" s="556"/>
      <c r="F458" s="556"/>
      <c r="G458" s="556"/>
      <c r="H458" s="556"/>
      <c r="I458" s="556"/>
      <c r="J458" s="556"/>
      <c r="K458" s="556"/>
      <c r="L458" s="556"/>
      <c r="M458" s="556"/>
      <c r="N458" s="556"/>
      <c r="O458" s="556"/>
      <c r="P458" s="556"/>
      <c r="Q458" s="556"/>
      <c r="R458" s="556"/>
      <c r="S458" s="556"/>
    </row>
    <row r="459" spans="2:19" ht="15.75" x14ac:dyDescent="0.25">
      <c r="B459" s="557" t="s">
        <v>495</v>
      </c>
      <c r="C459" s="558"/>
      <c r="D459" s="559"/>
      <c r="E459" s="556"/>
      <c r="F459" s="556"/>
      <c r="G459" s="556"/>
      <c r="H459" s="556"/>
      <c r="I459" s="556"/>
      <c r="J459" s="556"/>
      <c r="K459" s="556"/>
      <c r="L459" s="556"/>
      <c r="M459" s="556"/>
      <c r="N459" s="556"/>
      <c r="O459" s="556"/>
      <c r="P459" s="556"/>
      <c r="Q459" s="556"/>
      <c r="R459" s="556"/>
      <c r="S459" s="556"/>
    </row>
    <row r="460" spans="2:19" ht="15.75" x14ac:dyDescent="0.25">
      <c r="B460" s="560" t="s">
        <v>496</v>
      </c>
      <c r="C460" s="558"/>
      <c r="D460" s="559"/>
      <c r="E460" s="556"/>
      <c r="F460" s="556"/>
      <c r="G460" s="556"/>
      <c r="H460" s="556"/>
      <c r="I460" s="556"/>
      <c r="J460" s="556"/>
      <c r="K460" s="556"/>
      <c r="L460" s="556"/>
      <c r="M460" s="556"/>
      <c r="N460" s="556"/>
      <c r="O460" s="556"/>
      <c r="P460" s="556"/>
      <c r="Q460" s="556"/>
      <c r="R460" s="556"/>
      <c r="S460" s="556"/>
    </row>
    <row r="461" spans="2:19" ht="16.5" thickBot="1" x14ac:dyDescent="0.3">
      <c r="B461" s="561"/>
      <c r="C461" s="562"/>
      <c r="D461" s="563"/>
      <c r="E461" s="564"/>
      <c r="F461" s="564"/>
      <c r="G461" s="564"/>
      <c r="H461" s="564"/>
      <c r="I461" s="564"/>
      <c r="J461" s="564"/>
      <c r="K461" s="564"/>
      <c r="L461" s="564"/>
      <c r="M461" s="564"/>
      <c r="N461" s="564"/>
      <c r="O461" s="564"/>
      <c r="P461" s="564"/>
      <c r="Q461" s="564"/>
      <c r="R461" s="564"/>
      <c r="S461" s="564"/>
    </row>
    <row r="462" spans="2:19" ht="15.75" thickTop="1" x14ac:dyDescent="0.25"/>
  </sheetData>
  <sheetProtection algorithmName="SHA-512" hashValue="VPsRa0tm5q9GB7NTKbdGGQ6A/yFqxZMqkMikdB0Com4sLoKZCSUF7xItYlpZc0ToiwD81OiiBvhOvHXXqOHlrw==" saltValue="FKlF5iGWiqcnD4GBXslXTw==" spinCount="100000" sheet="1" objects="1" scenarios="1"/>
  <mergeCells count="1">
    <mergeCell ref="B8:D8"/>
  </mergeCells>
  <hyperlinks>
    <hyperlink ref="B460" r:id="rId1" xr:uid="{C9667145-34F6-4D25-9A25-841EC84EC78C}"/>
    <hyperlink ref="B459" r:id="rId2" xr:uid="{F36CBD09-21C7-4C01-9878-D6A89334EB0C}"/>
  </hyperlinks>
  <pageMargins left="0.7" right="0.7" top="0.75" bottom="0.75" header="0.3" footer="0.3"/>
  <pageSetup paperSize="9" orientation="portrait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591E-72EF-431F-8C96-BEBDB5BC6FCA}">
  <dimension ref="A1:K372"/>
  <sheetViews>
    <sheetView topLeftCell="A136" zoomScale="70" zoomScaleNormal="70" workbookViewId="0">
      <selection activeCell="K372" sqref="K3:K372"/>
    </sheetView>
  </sheetViews>
  <sheetFormatPr baseColWidth="10" defaultColWidth="86.42578125" defaultRowHeight="15" x14ac:dyDescent="0.25"/>
  <cols>
    <col min="1" max="1" width="12.140625" bestFit="1" customWidth="1"/>
    <col min="2" max="2" width="81.5703125" customWidth="1"/>
    <col min="3" max="3" width="13.85546875" bestFit="1" customWidth="1"/>
    <col min="4" max="4" width="16.85546875" bestFit="1" customWidth="1"/>
    <col min="5" max="5" width="11.5703125" bestFit="1" customWidth="1"/>
    <col min="6" max="6" width="15.28515625" bestFit="1" customWidth="1"/>
    <col min="7" max="7" width="14.85546875" bestFit="1" customWidth="1"/>
    <col min="8" max="8" width="9.140625" bestFit="1" customWidth="1"/>
    <col min="9" max="9" width="7.85546875" bestFit="1" customWidth="1"/>
    <col min="10" max="10" width="6.42578125" bestFit="1" customWidth="1"/>
    <col min="11" max="11" width="13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 x14ac:dyDescent="0.25">
      <c r="A2" s="1"/>
      <c r="B2" s="16"/>
      <c r="C2" s="17"/>
      <c r="D2" s="14"/>
      <c r="E2" s="1"/>
      <c r="F2" s="1"/>
      <c r="G2" s="14"/>
      <c r="H2" s="1" t="s">
        <v>11</v>
      </c>
      <c r="I2" s="15" t="s">
        <v>12</v>
      </c>
      <c r="J2" s="1" t="s">
        <v>13</v>
      </c>
      <c r="K2" s="17"/>
    </row>
    <row r="3" spans="1:11" x14ac:dyDescent="0.25">
      <c r="A3" s="4">
        <v>400</v>
      </c>
      <c r="B3" s="18" t="s">
        <v>14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 x14ac:dyDescent="0.25">
      <c r="A4" s="4">
        <v>401</v>
      </c>
      <c r="B4" s="18" t="s">
        <v>15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x14ac:dyDescent="0.25">
      <c r="A5" s="4">
        <v>403</v>
      </c>
      <c r="B5" s="18" t="s">
        <v>16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 x14ac:dyDescent="0.25">
      <c r="A6" s="4">
        <v>404</v>
      </c>
      <c r="B6" s="18" t="s">
        <v>17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 x14ac:dyDescent="0.25">
      <c r="A7" s="4">
        <v>405</v>
      </c>
      <c r="B7" s="18" t="s">
        <v>18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 x14ac:dyDescent="0.25">
      <c r="A8" s="4">
        <v>406</v>
      </c>
      <c r="B8" s="18" t="s">
        <v>19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 x14ac:dyDescent="0.25">
      <c r="A9" s="4">
        <v>407</v>
      </c>
      <c r="B9" s="18" t="s">
        <v>20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 x14ac:dyDescent="0.25">
      <c r="A10" s="4">
        <v>408</v>
      </c>
      <c r="B10" s="18" t="s">
        <v>21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 x14ac:dyDescent="0.25">
      <c r="A11" s="4">
        <v>409</v>
      </c>
      <c r="B11" s="18" t="s">
        <v>22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 x14ac:dyDescent="0.25">
      <c r="A12" s="4">
        <v>410</v>
      </c>
      <c r="B12" s="18" t="s">
        <v>23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 x14ac:dyDescent="0.25">
      <c r="A13" s="4">
        <v>411</v>
      </c>
      <c r="B13" s="18" t="s">
        <v>24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 x14ac:dyDescent="0.25">
      <c r="A14" s="4">
        <v>412</v>
      </c>
      <c r="B14" s="18" t="s">
        <v>25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 x14ac:dyDescent="0.25">
      <c r="A15" s="4">
        <v>414</v>
      </c>
      <c r="B15" s="18" t="s">
        <v>26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 x14ac:dyDescent="0.25">
      <c r="A16" s="4">
        <v>415</v>
      </c>
      <c r="B16" s="18" t="s">
        <v>27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 x14ac:dyDescent="0.25">
      <c r="A17" s="4">
        <v>416</v>
      </c>
      <c r="B17" s="18" t="s">
        <v>28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 x14ac:dyDescent="0.25">
      <c r="A18" s="4">
        <v>417</v>
      </c>
      <c r="B18" s="18" t="s">
        <v>29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 x14ac:dyDescent="0.25">
      <c r="A19" s="4">
        <v>418</v>
      </c>
      <c r="B19" s="18" t="s">
        <v>30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 x14ac:dyDescent="0.25">
      <c r="A20" s="4">
        <v>419</v>
      </c>
      <c r="B20" s="18" t="s">
        <v>31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 x14ac:dyDescent="0.25">
      <c r="A21" s="4">
        <v>420</v>
      </c>
      <c r="B21" s="18" t="s">
        <v>32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 x14ac:dyDescent="0.25">
      <c r="A22" s="4">
        <v>421</v>
      </c>
      <c r="B22" s="18" t="s">
        <v>33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 x14ac:dyDescent="0.25">
      <c r="A23" s="4">
        <v>422</v>
      </c>
      <c r="B23" s="18" t="s">
        <v>34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 x14ac:dyDescent="0.25">
      <c r="A24" s="4">
        <v>424</v>
      </c>
      <c r="B24" s="18" t="s">
        <v>35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 x14ac:dyDescent="0.25">
      <c r="A25" s="4">
        <v>425</v>
      </c>
      <c r="B25" s="18" t="s">
        <v>36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 x14ac:dyDescent="0.25">
      <c r="A26" s="4">
        <v>426</v>
      </c>
      <c r="B26" s="18" t="s">
        <v>37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 x14ac:dyDescent="0.25">
      <c r="A27" s="4">
        <v>427</v>
      </c>
      <c r="B27" s="18" t="s">
        <v>38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 x14ac:dyDescent="0.25">
      <c r="A28" s="4">
        <v>432</v>
      </c>
      <c r="B28" s="18" t="s">
        <v>39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 x14ac:dyDescent="0.25">
      <c r="A29" s="4">
        <v>433</v>
      </c>
      <c r="B29" s="18" t="s">
        <v>40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 x14ac:dyDescent="0.25">
      <c r="A30" s="4">
        <v>438</v>
      </c>
      <c r="B30" s="18" t="s">
        <v>41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 x14ac:dyDescent="0.25">
      <c r="A31" s="4">
        <v>440</v>
      </c>
      <c r="B31" s="18" t="s">
        <v>42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x14ac:dyDescent="0.25">
      <c r="A32" s="4">
        <v>441</v>
      </c>
      <c r="B32" s="18" t="s">
        <v>43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 x14ac:dyDescent="0.25">
      <c r="A33" s="4">
        <v>443</v>
      </c>
      <c r="B33" s="18" t="s">
        <v>44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 x14ac:dyDescent="0.25">
      <c r="A34" s="4">
        <v>444</v>
      </c>
      <c r="B34" s="18" t="s">
        <v>45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 x14ac:dyDescent="0.25">
      <c r="A35" s="4">
        <v>445</v>
      </c>
      <c r="B35" s="18" t="s">
        <v>46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 x14ac:dyDescent="0.25">
      <c r="A36" s="4">
        <v>450</v>
      </c>
      <c r="B36" s="18" t="s">
        <v>47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 x14ac:dyDescent="0.25">
      <c r="A37" s="4">
        <v>454</v>
      </c>
      <c r="B37" s="18" t="s">
        <v>48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 x14ac:dyDescent="0.25">
      <c r="A38" s="4">
        <v>455</v>
      </c>
      <c r="B38" s="18" t="s">
        <v>49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 x14ac:dyDescent="0.25">
      <c r="A39" s="4">
        <v>456</v>
      </c>
      <c r="B39" s="18" t="s">
        <v>50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 x14ac:dyDescent="0.25">
      <c r="A40" s="4">
        <v>457</v>
      </c>
      <c r="B40" s="18" t="s">
        <v>51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 x14ac:dyDescent="0.25">
      <c r="A41" s="4">
        <v>460</v>
      </c>
      <c r="B41" s="18" t="s">
        <v>52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 x14ac:dyDescent="0.25">
      <c r="A42" s="4">
        <v>461</v>
      </c>
      <c r="B42" s="18" t="s">
        <v>53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 x14ac:dyDescent="0.25">
      <c r="A43" s="4">
        <v>465</v>
      </c>
      <c r="B43" s="18" t="s">
        <v>54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 x14ac:dyDescent="0.25">
      <c r="A44" s="4">
        <v>468</v>
      </c>
      <c r="B44" s="18" t="s">
        <v>55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 x14ac:dyDescent="0.25">
      <c r="A45" s="4">
        <v>469</v>
      </c>
      <c r="B45" s="18" t="s">
        <v>56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 x14ac:dyDescent="0.25">
      <c r="A46" s="4">
        <v>470</v>
      </c>
      <c r="B46" s="18" t="s">
        <v>57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58</v>
      </c>
      <c r="H46" s="4"/>
      <c r="I46" s="2"/>
      <c r="J46" s="6"/>
      <c r="K46" s="7"/>
    </row>
    <row r="47" spans="1:11" x14ac:dyDescent="0.25">
      <c r="A47" s="4">
        <v>472</v>
      </c>
      <c r="B47" s="18" t="s">
        <v>59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 x14ac:dyDescent="0.25">
      <c r="A48" s="4">
        <v>480</v>
      </c>
      <c r="B48" s="18" t="s">
        <v>60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 x14ac:dyDescent="0.25">
      <c r="A49" s="4">
        <v>481</v>
      </c>
      <c r="B49" s="18" t="s">
        <v>61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 x14ac:dyDescent="0.25">
      <c r="A50" s="4">
        <v>485</v>
      </c>
      <c r="B50" s="18" t="s">
        <v>62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 x14ac:dyDescent="0.25">
      <c r="A51" s="4">
        <v>490</v>
      </c>
      <c r="B51" s="18" t="s">
        <v>63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 x14ac:dyDescent="0.25">
      <c r="A52" s="4">
        <v>603</v>
      </c>
      <c r="B52" s="18" t="s">
        <v>64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65</v>
      </c>
      <c r="H52" s="4"/>
      <c r="I52" s="2"/>
      <c r="J52" s="6"/>
      <c r="K52" s="7"/>
    </row>
    <row r="53" spans="1:11" x14ac:dyDescent="0.25">
      <c r="A53" s="4">
        <v>604</v>
      </c>
      <c r="B53" s="18" t="s">
        <v>66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67</v>
      </c>
      <c r="H53" s="4"/>
      <c r="I53" s="2"/>
      <c r="J53" s="6"/>
      <c r="K53" s="7"/>
    </row>
    <row r="54" spans="1:11" x14ac:dyDescent="0.25">
      <c r="A54" s="4">
        <v>605</v>
      </c>
      <c r="B54" s="18" t="s">
        <v>68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65</v>
      </c>
      <c r="H54" s="4"/>
      <c r="I54" s="2"/>
      <c r="J54" s="6"/>
      <c r="K54" s="7"/>
    </row>
    <row r="55" spans="1:11" x14ac:dyDescent="0.25">
      <c r="A55" s="4">
        <v>606</v>
      </c>
      <c r="B55" s="18" t="s">
        <v>69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 x14ac:dyDescent="0.25">
      <c r="A56" s="4">
        <v>607</v>
      </c>
      <c r="B56" s="18" t="s">
        <v>70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67</v>
      </c>
      <c r="H56" s="4"/>
      <c r="I56" s="2"/>
      <c r="J56" s="6"/>
      <c r="K56" s="7"/>
    </row>
    <row r="57" spans="1:11" x14ac:dyDescent="0.25">
      <c r="A57" s="4">
        <v>608</v>
      </c>
      <c r="B57" s="18" t="s">
        <v>71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 x14ac:dyDescent="0.25">
      <c r="A58" s="4">
        <v>609</v>
      </c>
      <c r="B58" s="18" t="s">
        <v>72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73</v>
      </c>
      <c r="H58" s="4"/>
      <c r="I58" s="2"/>
      <c r="J58" s="6"/>
      <c r="K58" s="7"/>
    </row>
    <row r="59" spans="1:11" x14ac:dyDescent="0.25">
      <c r="A59" s="4">
        <v>610</v>
      </c>
      <c r="B59" s="18" t="s">
        <v>74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 x14ac:dyDescent="0.25">
      <c r="A60" s="4">
        <v>611</v>
      </c>
      <c r="B60" s="18" t="s">
        <v>75</v>
      </c>
      <c r="C60" s="2">
        <v>1840</v>
      </c>
      <c r="D60" s="3">
        <v>57</v>
      </c>
      <c r="E60" s="4">
        <f t="shared" si="0"/>
        <v>1897</v>
      </c>
      <c r="F60" s="3" t="s">
        <v>76</v>
      </c>
      <c r="G60" s="5" t="s">
        <v>76</v>
      </c>
      <c r="H60" s="4"/>
      <c r="I60" s="2"/>
      <c r="J60" s="6"/>
      <c r="K60" s="7"/>
    </row>
    <row r="61" spans="1:11" x14ac:dyDescent="0.25">
      <c r="A61" s="4">
        <v>612</v>
      </c>
      <c r="B61" s="18" t="s">
        <v>77</v>
      </c>
      <c r="C61" s="2">
        <v>1690</v>
      </c>
      <c r="D61" s="3">
        <v>76</v>
      </c>
      <c r="E61" s="4">
        <f t="shared" si="0"/>
        <v>1766</v>
      </c>
      <c r="F61" s="3" t="s">
        <v>78</v>
      </c>
      <c r="G61" s="5" t="s">
        <v>78</v>
      </c>
      <c r="H61" s="4"/>
      <c r="I61" s="2"/>
      <c r="J61" s="6"/>
      <c r="K61" s="7"/>
    </row>
    <row r="62" spans="1:11" x14ac:dyDescent="0.25">
      <c r="A62" s="4">
        <v>613</v>
      </c>
      <c r="B62" s="18" t="s">
        <v>79</v>
      </c>
      <c r="C62" s="2">
        <v>1680</v>
      </c>
      <c r="D62" s="3">
        <v>77</v>
      </c>
      <c r="E62" s="4">
        <f t="shared" si="0"/>
        <v>1757</v>
      </c>
      <c r="F62" s="3" t="s">
        <v>78</v>
      </c>
      <c r="G62" s="5" t="s">
        <v>78</v>
      </c>
      <c r="H62" s="4"/>
      <c r="I62" s="2"/>
      <c r="J62" s="6">
        <v>0</v>
      </c>
      <c r="K62" s="7"/>
    </row>
    <row r="63" spans="1:11" x14ac:dyDescent="0.25">
      <c r="A63" s="4">
        <v>614</v>
      </c>
      <c r="B63" s="18" t="s">
        <v>80</v>
      </c>
      <c r="C63" s="2">
        <v>1740</v>
      </c>
      <c r="D63" s="3">
        <v>75</v>
      </c>
      <c r="E63" s="4">
        <f t="shared" si="0"/>
        <v>1815</v>
      </c>
      <c r="F63" s="3" t="s">
        <v>81</v>
      </c>
      <c r="G63" s="5" t="s">
        <v>81</v>
      </c>
      <c r="H63" s="4"/>
      <c r="I63" s="2"/>
      <c r="J63" s="6"/>
      <c r="K63" s="7"/>
    </row>
    <row r="64" spans="1:11" x14ac:dyDescent="0.25">
      <c r="A64" s="4">
        <v>615</v>
      </c>
      <c r="B64" s="18" t="s">
        <v>82</v>
      </c>
      <c r="C64" s="2">
        <v>1610</v>
      </c>
      <c r="D64" s="3">
        <v>87</v>
      </c>
      <c r="E64" s="4">
        <f t="shared" si="0"/>
        <v>1697</v>
      </c>
      <c r="F64" s="3" t="s">
        <v>67</v>
      </c>
      <c r="G64" s="5" t="s">
        <v>67</v>
      </c>
      <c r="H64" s="4"/>
      <c r="I64" s="2"/>
      <c r="J64" s="6"/>
      <c r="K64" s="7"/>
    </row>
    <row r="65" spans="1:11" x14ac:dyDescent="0.25">
      <c r="A65" s="4">
        <v>616</v>
      </c>
      <c r="B65" s="18" t="s">
        <v>83</v>
      </c>
      <c r="C65" s="2">
        <v>1840</v>
      </c>
      <c r="D65" s="3">
        <v>57</v>
      </c>
      <c r="E65" s="4">
        <f t="shared" si="0"/>
        <v>1897</v>
      </c>
      <c r="F65" s="3"/>
      <c r="G65" s="5" t="s">
        <v>76</v>
      </c>
      <c r="H65" s="4"/>
      <c r="I65" s="2"/>
      <c r="J65" s="6"/>
      <c r="K65" s="7"/>
    </row>
    <row r="66" spans="1:11" x14ac:dyDescent="0.25">
      <c r="A66" s="4">
        <v>617</v>
      </c>
      <c r="B66" s="18" t="s">
        <v>84</v>
      </c>
      <c r="C66" s="2">
        <v>1610</v>
      </c>
      <c r="D66" s="3">
        <v>87</v>
      </c>
      <c r="E66" s="4">
        <f t="shared" si="0"/>
        <v>1697</v>
      </c>
      <c r="F66" s="3"/>
      <c r="G66" s="5" t="s">
        <v>67</v>
      </c>
      <c r="H66" s="4"/>
      <c r="I66" s="2"/>
      <c r="J66" s="6"/>
      <c r="K66" s="7"/>
    </row>
    <row r="67" spans="1:11" x14ac:dyDescent="0.25">
      <c r="A67" s="4">
        <v>618</v>
      </c>
      <c r="B67" s="18" t="s">
        <v>85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67</v>
      </c>
      <c r="H67" s="4"/>
      <c r="I67" s="2"/>
      <c r="J67" s="6"/>
      <c r="K67" s="7"/>
    </row>
    <row r="68" spans="1:11" x14ac:dyDescent="0.25">
      <c r="A68" s="4">
        <v>619</v>
      </c>
      <c r="B68" s="18" t="s">
        <v>86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 x14ac:dyDescent="0.25">
      <c r="A69" s="4">
        <v>620</v>
      </c>
      <c r="B69" s="18" t="s">
        <v>87</v>
      </c>
      <c r="C69" s="2">
        <v>1550</v>
      </c>
      <c r="D69" s="3">
        <v>94</v>
      </c>
      <c r="E69" s="4">
        <f t="shared" si="1"/>
        <v>1644</v>
      </c>
      <c r="F69" s="3"/>
      <c r="G69" s="5" t="s">
        <v>67</v>
      </c>
      <c r="H69" s="4"/>
      <c r="I69" s="2"/>
      <c r="J69" s="6"/>
      <c r="K69" s="7"/>
    </row>
    <row r="70" spans="1:11" x14ac:dyDescent="0.25">
      <c r="A70" s="4">
        <v>621</v>
      </c>
      <c r="B70" s="18" t="s">
        <v>88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 x14ac:dyDescent="0.25">
      <c r="A71" s="4">
        <v>622</v>
      </c>
      <c r="B71" s="18" t="s">
        <v>89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 x14ac:dyDescent="0.25">
      <c r="A72" s="4">
        <v>624</v>
      </c>
      <c r="B72" s="18" t="s">
        <v>90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 x14ac:dyDescent="0.25">
      <c r="A73" s="4">
        <v>625</v>
      </c>
      <c r="B73" s="18" t="s">
        <v>91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67</v>
      </c>
      <c r="H73" s="4"/>
      <c r="I73" s="2"/>
      <c r="J73" s="6"/>
      <c r="K73" s="7"/>
    </row>
    <row r="74" spans="1:11" x14ac:dyDescent="0.25">
      <c r="A74" s="4">
        <v>626</v>
      </c>
      <c r="B74" s="18" t="s">
        <v>92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67</v>
      </c>
      <c r="H74" s="4"/>
      <c r="I74" s="2"/>
      <c r="J74" s="6"/>
      <c r="K74" s="7"/>
    </row>
    <row r="75" spans="1:11" x14ac:dyDescent="0.25">
      <c r="A75" s="4">
        <v>627</v>
      </c>
      <c r="B75" s="18" t="s">
        <v>93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67</v>
      </c>
      <c r="H75" s="4"/>
      <c r="I75" s="2"/>
      <c r="J75" s="6"/>
      <c r="K75" s="7"/>
    </row>
    <row r="76" spans="1:11" x14ac:dyDescent="0.25">
      <c r="A76" s="4">
        <v>628</v>
      </c>
      <c r="B76" s="18" t="s">
        <v>94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 x14ac:dyDescent="0.25">
      <c r="A77" s="4">
        <v>629</v>
      </c>
      <c r="B77" s="18" t="s">
        <v>95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 x14ac:dyDescent="0.25">
      <c r="A78" s="4">
        <v>632</v>
      </c>
      <c r="B78" s="18" t="s">
        <v>39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 x14ac:dyDescent="0.25">
      <c r="A79" s="4">
        <v>633</v>
      </c>
      <c r="B79" s="18" t="s">
        <v>96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 x14ac:dyDescent="0.25">
      <c r="A80" s="4">
        <v>634</v>
      </c>
      <c r="B80" s="18" t="s">
        <v>97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 x14ac:dyDescent="0.25">
      <c r="A81" s="4">
        <v>635</v>
      </c>
      <c r="B81" s="18" t="s">
        <v>98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67</v>
      </c>
      <c r="H81" s="4"/>
      <c r="I81" s="2"/>
      <c r="J81" s="3"/>
      <c r="K81" s="7"/>
    </row>
    <row r="82" spans="1:11" x14ac:dyDescent="0.25">
      <c r="A82" s="4">
        <v>636</v>
      </c>
      <c r="B82" s="18" t="s">
        <v>99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 x14ac:dyDescent="0.25">
      <c r="A83" s="4">
        <v>637</v>
      </c>
      <c r="B83" s="18" t="s">
        <v>100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 x14ac:dyDescent="0.25">
      <c r="A84" s="4">
        <v>639</v>
      </c>
      <c r="B84" s="18" t="s">
        <v>101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 x14ac:dyDescent="0.25">
      <c r="A85" s="4">
        <v>640</v>
      </c>
      <c r="B85" s="18" t="s">
        <v>102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78</v>
      </c>
      <c r="H85" s="4"/>
      <c r="I85" s="2"/>
      <c r="J85" s="3"/>
      <c r="K85" s="7"/>
    </row>
    <row r="86" spans="1:11" x14ac:dyDescent="0.25">
      <c r="A86" s="4">
        <v>641</v>
      </c>
      <c r="B86" s="18" t="s">
        <v>103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67</v>
      </c>
      <c r="H86" s="4"/>
      <c r="I86" s="2"/>
      <c r="J86" s="3"/>
      <c r="K86" s="7"/>
    </row>
    <row r="87" spans="1:11" x14ac:dyDescent="0.25">
      <c r="A87" s="4">
        <v>642</v>
      </c>
      <c r="B87" s="18" t="s">
        <v>104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65</v>
      </c>
      <c r="H87" s="4"/>
      <c r="I87" s="2"/>
      <c r="J87" s="3"/>
      <c r="K87" s="7"/>
    </row>
    <row r="88" spans="1:11" x14ac:dyDescent="0.25">
      <c r="A88" s="4">
        <v>643</v>
      </c>
      <c r="B88" s="18" t="s">
        <v>105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67</v>
      </c>
      <c r="H88" s="4"/>
      <c r="I88" s="2"/>
      <c r="J88" s="3"/>
      <c r="K88" s="7"/>
    </row>
    <row r="89" spans="1:11" x14ac:dyDescent="0.25">
      <c r="A89" s="4">
        <v>644</v>
      </c>
      <c r="B89" s="18" t="s">
        <v>106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 x14ac:dyDescent="0.25">
      <c r="A90" s="4">
        <v>645</v>
      </c>
      <c r="B90" s="18" t="s">
        <v>107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 x14ac:dyDescent="0.25">
      <c r="A91" s="4">
        <v>646</v>
      </c>
      <c r="B91" s="18" t="s">
        <v>108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 x14ac:dyDescent="0.25">
      <c r="A92" s="4">
        <v>647</v>
      </c>
      <c r="B92" s="18" t="s">
        <v>109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 x14ac:dyDescent="0.25">
      <c r="A93" s="4">
        <v>648</v>
      </c>
      <c r="B93" s="18" t="s">
        <v>110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81</v>
      </c>
      <c r="H93" s="4"/>
      <c r="I93" s="2"/>
      <c r="J93" s="3"/>
      <c r="K93" s="7"/>
    </row>
    <row r="94" spans="1:11" x14ac:dyDescent="0.25">
      <c r="A94" s="4">
        <v>649</v>
      </c>
      <c r="B94" s="18" t="s">
        <v>111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 x14ac:dyDescent="0.25">
      <c r="A95" s="4">
        <v>650</v>
      </c>
      <c r="B95" s="18" t="s">
        <v>112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 x14ac:dyDescent="0.25">
      <c r="A96" s="4">
        <v>651</v>
      </c>
      <c r="B96" s="18" t="s">
        <v>113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 x14ac:dyDescent="0.25">
      <c r="A97" s="4">
        <v>652</v>
      </c>
      <c r="B97" s="18" t="s">
        <v>114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x14ac:dyDescent="0.25">
      <c r="A98" s="4">
        <v>653</v>
      </c>
      <c r="B98" s="18" t="s">
        <v>115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67</v>
      </c>
      <c r="H98" s="4"/>
      <c r="I98" s="2">
        <v>100</v>
      </c>
      <c r="J98" s="3"/>
      <c r="K98" s="7"/>
    </row>
    <row r="99" spans="1:11" x14ac:dyDescent="0.25">
      <c r="A99" s="4">
        <v>654</v>
      </c>
      <c r="B99" s="18" t="s">
        <v>116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78</v>
      </c>
      <c r="H99" s="4"/>
      <c r="I99" s="2">
        <v>300</v>
      </c>
      <c r="J99" s="3"/>
      <c r="K99" s="7"/>
    </row>
    <row r="100" spans="1:11" x14ac:dyDescent="0.25">
      <c r="A100" s="4">
        <v>655</v>
      </c>
      <c r="B100" s="18" t="s">
        <v>117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67</v>
      </c>
      <c r="H100" s="4"/>
      <c r="I100" s="2">
        <v>200</v>
      </c>
      <c r="J100" s="3"/>
      <c r="K100" s="7"/>
    </row>
    <row r="101" spans="1:11" x14ac:dyDescent="0.25">
      <c r="A101" s="4">
        <v>656</v>
      </c>
      <c r="B101" s="18" t="s">
        <v>118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 x14ac:dyDescent="0.25">
      <c r="A102" s="4">
        <v>658</v>
      </c>
      <c r="B102" s="18" t="s">
        <v>119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67</v>
      </c>
      <c r="H102" s="4"/>
      <c r="I102" s="2"/>
      <c r="J102" s="3"/>
      <c r="K102" s="7"/>
    </row>
    <row r="103" spans="1:11" x14ac:dyDescent="0.25">
      <c r="A103" s="4">
        <v>659</v>
      </c>
      <c r="B103" s="18" t="s">
        <v>120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x14ac:dyDescent="0.25">
      <c r="A104" s="4">
        <v>667</v>
      </c>
      <c r="B104" s="18" t="s">
        <v>121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73</v>
      </c>
      <c r="H104" s="4"/>
      <c r="I104" s="2">
        <v>830</v>
      </c>
      <c r="J104" s="3"/>
      <c r="K104" s="7"/>
    </row>
    <row r="105" spans="1:11" x14ac:dyDescent="0.25">
      <c r="A105" s="4">
        <v>668</v>
      </c>
      <c r="B105" s="18" t="s">
        <v>122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76</v>
      </c>
      <c r="H105" s="4"/>
      <c r="I105" s="2">
        <v>830</v>
      </c>
      <c r="J105" s="3"/>
      <c r="K105" s="7"/>
    </row>
    <row r="106" spans="1:11" x14ac:dyDescent="0.25">
      <c r="A106" s="4">
        <v>669</v>
      </c>
      <c r="B106" s="18" t="s">
        <v>123</v>
      </c>
      <c r="C106" s="2">
        <v>1680</v>
      </c>
      <c r="D106" s="3">
        <v>77</v>
      </c>
      <c r="E106" s="4">
        <f t="shared" si="1"/>
        <v>1757</v>
      </c>
      <c r="F106" s="3" t="s">
        <v>78</v>
      </c>
      <c r="G106" s="5" t="s">
        <v>78</v>
      </c>
      <c r="H106" s="4"/>
      <c r="I106" s="2">
        <v>830</v>
      </c>
      <c r="J106" s="3"/>
      <c r="K106" s="7"/>
    </row>
    <row r="107" spans="1:11" x14ac:dyDescent="0.25">
      <c r="A107" s="4">
        <v>670</v>
      </c>
      <c r="B107" s="18" t="s">
        <v>124</v>
      </c>
      <c r="C107" s="2">
        <v>1740</v>
      </c>
      <c r="D107" s="3">
        <v>75</v>
      </c>
      <c r="E107" s="4">
        <f t="shared" si="1"/>
        <v>1815</v>
      </c>
      <c r="F107" s="3" t="s">
        <v>81</v>
      </c>
      <c r="G107" s="5" t="s">
        <v>81</v>
      </c>
      <c r="H107" s="4"/>
      <c r="I107" s="2">
        <v>750</v>
      </c>
      <c r="J107" s="3"/>
      <c r="K107" s="7"/>
    </row>
    <row r="108" spans="1:11" x14ac:dyDescent="0.25">
      <c r="A108" s="4">
        <v>671</v>
      </c>
      <c r="B108" s="18" t="s">
        <v>125</v>
      </c>
      <c r="C108" s="2">
        <v>1610</v>
      </c>
      <c r="D108" s="3">
        <v>87</v>
      </c>
      <c r="E108" s="4">
        <f t="shared" si="1"/>
        <v>1697</v>
      </c>
      <c r="F108" s="3" t="s">
        <v>67</v>
      </c>
      <c r="G108" s="5" t="s">
        <v>67</v>
      </c>
      <c r="H108" s="4"/>
      <c r="I108" s="2">
        <v>750</v>
      </c>
      <c r="J108" s="3"/>
      <c r="K108" s="7"/>
    </row>
    <row r="109" spans="1:11" x14ac:dyDescent="0.25">
      <c r="A109" s="4">
        <v>675</v>
      </c>
      <c r="B109" s="18" t="s">
        <v>126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127</v>
      </c>
      <c r="H109" s="4"/>
      <c r="I109" s="2">
        <v>725</v>
      </c>
      <c r="J109" s="3"/>
      <c r="K109" s="7"/>
    </row>
    <row r="110" spans="1:11" x14ac:dyDescent="0.25">
      <c r="A110" s="4">
        <v>676</v>
      </c>
      <c r="B110" s="18" t="s">
        <v>128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67</v>
      </c>
      <c r="H110" s="4"/>
      <c r="I110" s="2">
        <v>725</v>
      </c>
      <c r="J110" s="3"/>
      <c r="K110" s="7"/>
    </row>
    <row r="111" spans="1:11" x14ac:dyDescent="0.25">
      <c r="A111" s="4">
        <v>677</v>
      </c>
      <c r="B111" s="18" t="s">
        <v>129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67</v>
      </c>
      <c r="H111" s="4"/>
      <c r="I111" s="2">
        <v>725</v>
      </c>
      <c r="J111" s="3"/>
      <c r="K111" s="7"/>
    </row>
    <row r="112" spans="1:11" x14ac:dyDescent="0.25">
      <c r="A112" s="4">
        <v>678</v>
      </c>
      <c r="B112" s="18" t="s">
        <v>130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x14ac:dyDescent="0.25">
      <c r="A113" s="4">
        <v>679</v>
      </c>
      <c r="B113" s="18" t="s">
        <v>131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x14ac:dyDescent="0.25">
      <c r="A114" s="4">
        <v>684</v>
      </c>
      <c r="B114" s="18" t="s">
        <v>132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x14ac:dyDescent="0.25">
      <c r="A115" s="4">
        <v>686</v>
      </c>
      <c r="B115" s="18" t="s">
        <v>133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73</v>
      </c>
      <c r="H115" s="4"/>
      <c r="I115" s="2">
        <v>830</v>
      </c>
      <c r="J115" s="3"/>
      <c r="K115" s="7"/>
    </row>
    <row r="116" spans="1:11" x14ac:dyDescent="0.25">
      <c r="A116" s="4">
        <v>687</v>
      </c>
      <c r="B116" s="18" t="s">
        <v>134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76</v>
      </c>
      <c r="H116" s="4"/>
      <c r="I116" s="2">
        <v>600</v>
      </c>
      <c r="J116" s="3"/>
      <c r="K116" s="7"/>
    </row>
    <row r="117" spans="1:11" x14ac:dyDescent="0.25">
      <c r="A117" s="4">
        <v>688</v>
      </c>
      <c r="B117" s="18" t="s">
        <v>135</v>
      </c>
      <c r="C117" s="2">
        <v>1680</v>
      </c>
      <c r="D117" s="3">
        <v>77</v>
      </c>
      <c r="E117" s="4">
        <f t="shared" si="1"/>
        <v>1757</v>
      </c>
      <c r="F117" s="3" t="s">
        <v>78</v>
      </c>
      <c r="G117" s="5" t="s">
        <v>78</v>
      </c>
      <c r="H117" s="4"/>
      <c r="I117" s="2">
        <v>830</v>
      </c>
      <c r="J117" s="3"/>
      <c r="K117" s="7"/>
    </row>
    <row r="118" spans="1:11" x14ac:dyDescent="0.25">
      <c r="A118" s="4">
        <v>691</v>
      </c>
      <c r="B118" s="18" t="s">
        <v>136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 x14ac:dyDescent="0.25">
      <c r="A119" s="4">
        <v>692</v>
      </c>
      <c r="B119" s="18" t="s">
        <v>137</v>
      </c>
      <c r="C119" s="2">
        <v>1680</v>
      </c>
      <c r="D119" s="3">
        <v>77</v>
      </c>
      <c r="E119" s="4">
        <f t="shared" si="1"/>
        <v>1757</v>
      </c>
      <c r="F119" s="3" t="s">
        <v>78</v>
      </c>
      <c r="G119" s="5" t="s">
        <v>78</v>
      </c>
      <c r="H119" s="4"/>
      <c r="I119" s="2"/>
      <c r="J119" s="3"/>
      <c r="K119" s="7"/>
    </row>
    <row r="120" spans="1:11" x14ac:dyDescent="0.25">
      <c r="A120" s="4">
        <v>693</v>
      </c>
      <c r="B120" s="18" t="s">
        <v>138</v>
      </c>
      <c r="C120" s="2">
        <v>1500</v>
      </c>
      <c r="D120" s="3">
        <v>101</v>
      </c>
      <c r="E120" s="4">
        <f t="shared" si="1"/>
        <v>1601</v>
      </c>
      <c r="F120" s="3" t="s">
        <v>78</v>
      </c>
      <c r="G120" s="5" t="s">
        <v>78</v>
      </c>
      <c r="H120" s="4"/>
      <c r="I120" s="2"/>
      <c r="J120" s="3"/>
      <c r="K120" s="7"/>
    </row>
    <row r="121" spans="1:11" x14ac:dyDescent="0.25">
      <c r="A121" s="4">
        <v>694</v>
      </c>
      <c r="B121" s="18" t="s">
        <v>139</v>
      </c>
      <c r="C121" s="2">
        <v>1300</v>
      </c>
      <c r="D121" s="3">
        <v>127</v>
      </c>
      <c r="E121" s="4">
        <f t="shared" si="1"/>
        <v>1427</v>
      </c>
      <c r="F121" s="3" t="s">
        <v>78</v>
      </c>
      <c r="G121" s="5" t="s">
        <v>78</v>
      </c>
      <c r="H121" s="4"/>
      <c r="I121" s="2"/>
      <c r="J121" s="3"/>
      <c r="K121" s="7"/>
    </row>
    <row r="122" spans="1:11" x14ac:dyDescent="0.25">
      <c r="A122" s="4">
        <v>696</v>
      </c>
      <c r="B122" s="18" t="s">
        <v>140</v>
      </c>
      <c r="C122" s="2">
        <v>1500</v>
      </c>
      <c r="D122" s="3">
        <v>101</v>
      </c>
      <c r="E122" s="4">
        <f t="shared" si="1"/>
        <v>1601</v>
      </c>
      <c r="F122" s="3" t="s">
        <v>78</v>
      </c>
      <c r="G122" s="5" t="s">
        <v>78</v>
      </c>
      <c r="H122" s="4"/>
      <c r="I122" s="2"/>
      <c r="J122" s="3"/>
      <c r="K122" s="7"/>
    </row>
    <row r="123" spans="1:11" x14ac:dyDescent="0.25">
      <c r="A123" s="4">
        <v>702</v>
      </c>
      <c r="B123" s="18" t="s">
        <v>141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67</v>
      </c>
      <c r="H123" s="4">
        <v>17</v>
      </c>
      <c r="I123" s="2"/>
      <c r="J123" s="3"/>
      <c r="K123" s="7"/>
    </row>
    <row r="124" spans="1:11" x14ac:dyDescent="0.25">
      <c r="A124" s="4">
        <v>703</v>
      </c>
      <c r="B124" s="18" t="s">
        <v>142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67</v>
      </c>
      <c r="H124" s="4">
        <v>17</v>
      </c>
      <c r="I124" s="2">
        <v>211</v>
      </c>
      <c r="J124" s="3"/>
      <c r="K124" s="7"/>
    </row>
    <row r="125" spans="1:11" x14ac:dyDescent="0.25">
      <c r="A125" s="4">
        <v>704</v>
      </c>
      <c r="B125" s="18" t="s">
        <v>143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67</v>
      </c>
      <c r="H125" s="4">
        <v>17</v>
      </c>
      <c r="I125" s="2"/>
      <c r="J125" s="3"/>
      <c r="K125" s="7"/>
    </row>
    <row r="126" spans="1:11" x14ac:dyDescent="0.25">
      <c r="A126" s="4">
        <v>705</v>
      </c>
      <c r="B126" s="18" t="s">
        <v>144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67</v>
      </c>
      <c r="H126" s="4">
        <v>17</v>
      </c>
      <c r="I126" s="2">
        <v>211</v>
      </c>
      <c r="J126" s="3"/>
      <c r="K126" s="7"/>
    </row>
    <row r="127" spans="1:11" x14ac:dyDescent="0.25">
      <c r="A127" s="4">
        <v>706</v>
      </c>
      <c r="B127" s="18" t="s">
        <v>145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67</v>
      </c>
      <c r="H127" s="4">
        <v>17</v>
      </c>
      <c r="I127" s="2"/>
      <c r="J127" s="3"/>
      <c r="K127" s="7"/>
    </row>
    <row r="128" spans="1:11" x14ac:dyDescent="0.25">
      <c r="A128" s="4">
        <v>707</v>
      </c>
      <c r="B128" s="18" t="s">
        <v>146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65</v>
      </c>
      <c r="H128" s="4"/>
      <c r="I128" s="2"/>
      <c r="J128" s="3"/>
      <c r="K128" s="7"/>
    </row>
    <row r="129" spans="1:11" x14ac:dyDescent="0.25">
      <c r="A129" s="4">
        <v>708</v>
      </c>
      <c r="B129" s="18" t="s">
        <v>147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65</v>
      </c>
      <c r="H129" s="4"/>
      <c r="I129" s="2"/>
      <c r="J129" s="3"/>
      <c r="K129" s="7"/>
    </row>
    <row r="130" spans="1:11" x14ac:dyDescent="0.25">
      <c r="A130" s="4">
        <v>709</v>
      </c>
      <c r="B130" s="18" t="s">
        <v>148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65</v>
      </c>
      <c r="H130" s="4"/>
      <c r="I130" s="2"/>
      <c r="J130" s="3"/>
      <c r="K130" s="7"/>
    </row>
    <row r="131" spans="1:11" x14ac:dyDescent="0.25">
      <c r="A131" s="4">
        <v>710</v>
      </c>
      <c r="B131" s="18" t="s">
        <v>149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65</v>
      </c>
      <c r="H131" s="4">
        <v>20</v>
      </c>
      <c r="I131" s="2"/>
      <c r="J131" s="3"/>
      <c r="K131" s="7"/>
    </row>
    <row r="132" spans="1:11" x14ac:dyDescent="0.25">
      <c r="A132" s="4">
        <v>711</v>
      </c>
      <c r="B132" s="18" t="s">
        <v>150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65</v>
      </c>
      <c r="H132" s="4"/>
      <c r="I132" s="2"/>
      <c r="J132" s="3"/>
      <c r="K132" s="7"/>
    </row>
    <row r="133" spans="1:11" x14ac:dyDescent="0.25">
      <c r="A133" s="4">
        <v>712</v>
      </c>
      <c r="B133" s="18" t="s">
        <v>151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65</v>
      </c>
      <c r="H133" s="4"/>
      <c r="I133" s="2"/>
      <c r="J133" s="3"/>
      <c r="K133" s="7"/>
    </row>
    <row r="134" spans="1:11" x14ac:dyDescent="0.25">
      <c r="A134" s="4">
        <v>713</v>
      </c>
      <c r="B134" s="18" t="s">
        <v>152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65</v>
      </c>
      <c r="H134" s="4"/>
      <c r="I134" s="2"/>
      <c r="J134" s="3"/>
      <c r="K134" s="7"/>
    </row>
    <row r="135" spans="1:11" x14ac:dyDescent="0.25">
      <c r="A135" s="4">
        <v>714</v>
      </c>
      <c r="B135" s="18" t="s">
        <v>153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 x14ac:dyDescent="0.25">
      <c r="A136" s="4">
        <v>716</v>
      </c>
      <c r="B136" s="18" t="s">
        <v>154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73</v>
      </c>
      <c r="H136" s="4"/>
      <c r="I136" s="2"/>
      <c r="J136" s="8">
        <v>782</v>
      </c>
      <c r="K136" s="9">
        <v>744</v>
      </c>
    </row>
    <row r="137" spans="1:11" x14ac:dyDescent="0.25">
      <c r="A137" s="4">
        <v>717</v>
      </c>
      <c r="B137" s="18" t="s">
        <v>155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73</v>
      </c>
      <c r="H137" s="4">
        <v>150</v>
      </c>
      <c r="I137" s="2"/>
      <c r="J137" s="3"/>
      <c r="K137" s="7"/>
    </row>
    <row r="138" spans="1:11" x14ac:dyDescent="0.25">
      <c r="A138" s="4">
        <v>718</v>
      </c>
      <c r="B138" s="18" t="s">
        <v>156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73</v>
      </c>
      <c r="H138" s="4">
        <v>17</v>
      </c>
      <c r="I138" s="2"/>
      <c r="J138" s="3"/>
      <c r="K138" s="7"/>
    </row>
    <row r="139" spans="1:11" x14ac:dyDescent="0.25">
      <c r="A139" s="4">
        <v>719</v>
      </c>
      <c r="B139" s="18" t="s">
        <v>157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76</v>
      </c>
      <c r="H139" s="4"/>
      <c r="I139" s="2"/>
      <c r="J139" s="8">
        <v>782</v>
      </c>
      <c r="K139" s="9">
        <v>744</v>
      </c>
    </row>
    <row r="140" spans="1:11" x14ac:dyDescent="0.25">
      <c r="A140" s="4">
        <v>720</v>
      </c>
      <c r="B140" s="18" t="s">
        <v>158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76</v>
      </c>
      <c r="H140" s="4">
        <v>17</v>
      </c>
      <c r="I140" s="2"/>
      <c r="J140" s="3"/>
      <c r="K140" s="7"/>
    </row>
    <row r="141" spans="1:11" x14ac:dyDescent="0.25">
      <c r="A141" s="4">
        <v>721</v>
      </c>
      <c r="B141" s="18" t="s">
        <v>159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73</v>
      </c>
      <c r="H141" s="4">
        <v>150</v>
      </c>
      <c r="I141" s="2"/>
      <c r="J141" s="3"/>
      <c r="K141" s="7"/>
    </row>
    <row r="142" spans="1:11" x14ac:dyDescent="0.25">
      <c r="A142" s="4">
        <v>722</v>
      </c>
      <c r="B142" s="18" t="s">
        <v>160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78</v>
      </c>
      <c r="H142" s="4"/>
      <c r="I142" s="2"/>
      <c r="J142" s="8">
        <v>744</v>
      </c>
      <c r="K142" s="9">
        <v>744</v>
      </c>
    </row>
    <row r="143" spans="1:11" x14ac:dyDescent="0.25">
      <c r="A143" s="4">
        <v>723</v>
      </c>
      <c r="B143" s="18" t="s">
        <v>161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67</v>
      </c>
      <c r="H143" s="4"/>
      <c r="I143" s="2"/>
      <c r="J143" s="8">
        <v>769</v>
      </c>
      <c r="K143" s="9">
        <v>650</v>
      </c>
    </row>
    <row r="144" spans="1:11" x14ac:dyDescent="0.25">
      <c r="A144" s="4">
        <v>724</v>
      </c>
      <c r="B144" s="18" t="s">
        <v>162</v>
      </c>
      <c r="C144" s="2">
        <v>971</v>
      </c>
      <c r="D144" s="3">
        <v>214</v>
      </c>
      <c r="E144" s="4">
        <f t="shared" si="2"/>
        <v>1185</v>
      </c>
      <c r="F144" s="3"/>
      <c r="G144" s="5"/>
      <c r="H144" s="4"/>
      <c r="I144" s="2">
        <v>620</v>
      </c>
      <c r="J144" s="3"/>
      <c r="K144" s="7"/>
    </row>
    <row r="145" spans="1:11" x14ac:dyDescent="0.25">
      <c r="A145" s="4">
        <v>725</v>
      </c>
      <c r="B145" s="18" t="s">
        <v>163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67</v>
      </c>
      <c r="H145" s="4"/>
      <c r="I145" s="2"/>
      <c r="J145" s="8">
        <v>738</v>
      </c>
      <c r="K145" s="9">
        <v>744</v>
      </c>
    </row>
    <row r="146" spans="1:11" x14ac:dyDescent="0.25">
      <c r="A146" s="4">
        <v>726</v>
      </c>
      <c r="B146" s="18" t="s">
        <v>164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 x14ac:dyDescent="0.25">
      <c r="A147" s="4">
        <v>727</v>
      </c>
      <c r="B147" s="18" t="s">
        <v>165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67</v>
      </c>
      <c r="H147" s="4"/>
      <c r="I147" s="2"/>
      <c r="J147" s="8">
        <v>738</v>
      </c>
      <c r="K147" s="10">
        <v>650</v>
      </c>
    </row>
    <row r="148" spans="1:11" x14ac:dyDescent="0.25">
      <c r="A148" s="4">
        <v>728</v>
      </c>
      <c r="B148" s="18" t="s">
        <v>166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73</v>
      </c>
      <c r="H148" s="4">
        <v>17</v>
      </c>
      <c r="I148" s="2"/>
      <c r="J148" s="3"/>
      <c r="K148" s="7"/>
    </row>
    <row r="149" spans="1:11" x14ac:dyDescent="0.25">
      <c r="A149" s="4">
        <v>729</v>
      </c>
      <c r="B149" s="18" t="s">
        <v>167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73</v>
      </c>
      <c r="H149" s="4"/>
      <c r="I149" s="2"/>
      <c r="J149" s="3"/>
      <c r="K149" s="7"/>
    </row>
    <row r="150" spans="1:11" x14ac:dyDescent="0.25">
      <c r="A150" s="4">
        <v>730</v>
      </c>
      <c r="B150" s="18" t="s">
        <v>168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73</v>
      </c>
      <c r="H150" s="4"/>
      <c r="I150" s="2"/>
      <c r="J150" s="3"/>
      <c r="K150" s="7"/>
    </row>
    <row r="151" spans="1:11" x14ac:dyDescent="0.25">
      <c r="A151" s="4">
        <v>731</v>
      </c>
      <c r="B151" s="18" t="s">
        <v>169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76</v>
      </c>
      <c r="H151" s="4"/>
      <c r="I151" s="2"/>
      <c r="J151" s="3"/>
      <c r="K151" s="7"/>
    </row>
    <row r="152" spans="1:11" x14ac:dyDescent="0.25">
      <c r="A152" s="4">
        <v>735</v>
      </c>
      <c r="B152" s="18" t="s">
        <v>170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 x14ac:dyDescent="0.25">
      <c r="A153" s="4">
        <v>736</v>
      </c>
      <c r="B153" s="18" t="s">
        <v>171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73</v>
      </c>
      <c r="H153" s="4"/>
      <c r="I153" s="2"/>
      <c r="J153" s="3"/>
      <c r="K153" s="7"/>
    </row>
    <row r="154" spans="1:11" x14ac:dyDescent="0.25">
      <c r="A154" s="4">
        <v>738</v>
      </c>
      <c r="B154" s="18" t="s">
        <v>172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 x14ac:dyDescent="0.25">
      <c r="A155" s="4">
        <v>739</v>
      </c>
      <c r="B155" s="18" t="s">
        <v>173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 x14ac:dyDescent="0.25">
      <c r="A156" s="4">
        <v>741</v>
      </c>
      <c r="B156" s="18" t="s">
        <v>174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67</v>
      </c>
      <c r="H156" s="4"/>
      <c r="I156" s="2"/>
      <c r="J156" s="3"/>
      <c r="K156" s="9">
        <v>580</v>
      </c>
    </row>
    <row r="157" spans="1:11" x14ac:dyDescent="0.25">
      <c r="A157" s="4">
        <v>742</v>
      </c>
      <c r="B157" s="18" t="s">
        <v>175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 x14ac:dyDescent="0.25">
      <c r="A158" s="4">
        <v>744</v>
      </c>
      <c r="B158" s="18" t="s">
        <v>176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67</v>
      </c>
      <c r="H158" s="4"/>
      <c r="I158" s="2"/>
      <c r="J158" s="3"/>
      <c r="K158" s="9">
        <v>580</v>
      </c>
    </row>
    <row r="159" spans="1:11" x14ac:dyDescent="0.25">
      <c r="A159" s="4">
        <v>745</v>
      </c>
      <c r="B159" s="18" t="s">
        <v>177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 x14ac:dyDescent="0.25">
      <c r="A160" s="4">
        <v>746</v>
      </c>
      <c r="B160" s="18" t="s">
        <v>178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 x14ac:dyDescent="0.25">
      <c r="A161" s="4">
        <v>747</v>
      </c>
      <c r="B161" s="18" t="s">
        <v>179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x14ac:dyDescent="0.25">
      <c r="A162" s="4">
        <v>748</v>
      </c>
      <c r="B162" s="18" t="s">
        <v>180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67</v>
      </c>
      <c r="H162" s="4"/>
      <c r="I162" s="2"/>
      <c r="J162" s="3"/>
      <c r="K162" s="7"/>
    </row>
    <row r="163" spans="1:11" x14ac:dyDescent="0.25">
      <c r="A163" s="4">
        <v>749</v>
      </c>
      <c r="B163" s="18" t="s">
        <v>181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 x14ac:dyDescent="0.25">
      <c r="A164" s="4">
        <v>750</v>
      </c>
      <c r="B164" s="18" t="s">
        <v>96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 x14ac:dyDescent="0.25">
      <c r="A165" s="4">
        <v>751</v>
      </c>
      <c r="B165" s="18" t="s">
        <v>182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 x14ac:dyDescent="0.25">
      <c r="A166" s="4">
        <v>752</v>
      </c>
      <c r="B166" s="18" t="s">
        <v>183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 x14ac:dyDescent="0.25">
      <c r="A167" s="4">
        <v>753</v>
      </c>
      <c r="B167" s="18" t="s">
        <v>184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 x14ac:dyDescent="0.25">
      <c r="A168" s="4">
        <v>754</v>
      </c>
      <c r="B168" s="18" t="s">
        <v>185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 x14ac:dyDescent="0.25">
      <c r="A169" s="4">
        <v>755</v>
      </c>
      <c r="B169" s="18" t="s">
        <v>186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 x14ac:dyDescent="0.25">
      <c r="A170" s="4">
        <v>756</v>
      </c>
      <c r="B170" s="18" t="s">
        <v>187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 x14ac:dyDescent="0.25">
      <c r="A171" s="4">
        <v>758</v>
      </c>
      <c r="B171" s="18" t="s">
        <v>188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 x14ac:dyDescent="0.25">
      <c r="A172" s="4">
        <v>759</v>
      </c>
      <c r="B172" s="18" t="s">
        <v>189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 x14ac:dyDescent="0.25">
      <c r="A173" s="4">
        <v>760</v>
      </c>
      <c r="B173" s="18" t="s">
        <v>190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 x14ac:dyDescent="0.25">
      <c r="A174" s="4">
        <v>761</v>
      </c>
      <c r="B174" s="18" t="s">
        <v>191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 x14ac:dyDescent="0.25">
      <c r="A175" s="4">
        <v>763</v>
      </c>
      <c r="B175" s="18" t="s">
        <v>192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 x14ac:dyDescent="0.25">
      <c r="A176" s="4">
        <v>764</v>
      </c>
      <c r="B176" s="18" t="s">
        <v>193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 x14ac:dyDescent="0.25">
      <c r="A177" s="4">
        <v>765</v>
      </c>
      <c r="B177" s="18" t="s">
        <v>194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 x14ac:dyDescent="0.25">
      <c r="A178" s="4">
        <v>767</v>
      </c>
      <c r="B178" s="18" t="s">
        <v>195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x14ac:dyDescent="0.25">
      <c r="A179" s="4">
        <v>768</v>
      </c>
      <c r="B179" s="18" t="s">
        <v>196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 x14ac:dyDescent="0.25">
      <c r="A180" s="4">
        <v>769</v>
      </c>
      <c r="B180" s="18" t="s">
        <v>197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x14ac:dyDescent="0.25">
      <c r="A181" s="4">
        <v>770</v>
      </c>
      <c r="B181" s="18" t="s">
        <v>198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x14ac:dyDescent="0.25">
      <c r="A182" s="4">
        <v>771</v>
      </c>
      <c r="B182" s="18" t="s">
        <v>199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25.5" x14ac:dyDescent="0.25">
      <c r="A183" s="4">
        <v>773</v>
      </c>
      <c r="B183" s="18" t="s">
        <v>200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25.5" x14ac:dyDescent="0.25">
      <c r="A184" s="4">
        <v>774</v>
      </c>
      <c r="B184" s="18" t="s">
        <v>201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 x14ac:dyDescent="0.25">
      <c r="A185" s="4">
        <v>775</v>
      </c>
      <c r="B185" s="18" t="s">
        <v>202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 x14ac:dyDescent="0.25">
      <c r="A186" s="4">
        <v>776</v>
      </c>
      <c r="B186" s="18" t="s">
        <v>203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 x14ac:dyDescent="0.25">
      <c r="A187" s="4">
        <v>777</v>
      </c>
      <c r="B187" s="18" t="s">
        <v>204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x14ac:dyDescent="0.25">
      <c r="A188" s="4">
        <v>778</v>
      </c>
      <c r="B188" s="18" t="s">
        <v>205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 x14ac:dyDescent="0.25">
      <c r="A189" s="4">
        <v>779</v>
      </c>
      <c r="B189" s="18" t="s">
        <v>206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 x14ac:dyDescent="0.25">
      <c r="A190" s="4">
        <v>780</v>
      </c>
      <c r="B190" s="18" t="s">
        <v>207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x14ac:dyDescent="0.25">
      <c r="A191" s="4">
        <v>781</v>
      </c>
      <c r="B191" s="18" t="s">
        <v>208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 x14ac:dyDescent="0.25">
      <c r="A192" s="4">
        <v>783</v>
      </c>
      <c r="B192" s="18" t="s">
        <v>209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 x14ac:dyDescent="0.25">
      <c r="A193" s="4">
        <v>787</v>
      </c>
      <c r="B193" s="18" t="s">
        <v>210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 x14ac:dyDescent="0.25">
      <c r="A194" s="4">
        <v>788</v>
      </c>
      <c r="B194" s="18" t="s">
        <v>211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 x14ac:dyDescent="0.25">
      <c r="A195" s="4">
        <v>790</v>
      </c>
      <c r="B195" s="18" t="s">
        <v>212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 x14ac:dyDescent="0.25">
      <c r="A196" s="4">
        <v>791</v>
      </c>
      <c r="B196" s="18" t="s">
        <v>213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 x14ac:dyDescent="0.25">
      <c r="A197" s="4">
        <v>793</v>
      </c>
      <c r="B197" s="18" t="s">
        <v>214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 x14ac:dyDescent="0.25">
      <c r="A198" s="4">
        <v>794</v>
      </c>
      <c r="B198" s="18" t="s">
        <v>215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 x14ac:dyDescent="0.25">
      <c r="A199" s="4">
        <v>795</v>
      </c>
      <c r="B199" s="18" t="s">
        <v>216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 x14ac:dyDescent="0.25">
      <c r="A200" s="4">
        <v>796</v>
      </c>
      <c r="B200" s="18" t="s">
        <v>217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 x14ac:dyDescent="0.25">
      <c r="A201" s="4">
        <v>797</v>
      </c>
      <c r="B201" s="18" t="s">
        <v>218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 x14ac:dyDescent="0.25">
      <c r="A202" s="4">
        <v>799</v>
      </c>
      <c r="B202" s="18" t="s">
        <v>219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x14ac:dyDescent="0.25">
      <c r="A203" s="4">
        <v>800</v>
      </c>
      <c r="B203" s="18" t="s">
        <v>220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 x14ac:dyDescent="0.25">
      <c r="A204" s="4">
        <v>802</v>
      </c>
      <c r="B204" s="18" t="s">
        <v>221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 x14ac:dyDescent="0.25">
      <c r="A205" s="4">
        <v>803</v>
      </c>
      <c r="B205" s="18" t="s">
        <v>222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x14ac:dyDescent="0.25">
      <c r="A206" s="4">
        <v>804</v>
      </c>
      <c r="B206" s="18" t="s">
        <v>223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x14ac:dyDescent="0.25">
      <c r="A207" s="4">
        <v>805</v>
      </c>
      <c r="B207" s="18" t="s">
        <v>224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x14ac:dyDescent="0.25">
      <c r="A208" s="4">
        <v>806</v>
      </c>
      <c r="B208" s="18" t="s">
        <v>225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x14ac:dyDescent="0.25">
      <c r="A209" s="4">
        <v>807</v>
      </c>
      <c r="B209" s="18" t="s">
        <v>226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 x14ac:dyDescent="0.25">
      <c r="A210" s="4">
        <v>808</v>
      </c>
      <c r="B210" s="18" t="s">
        <v>227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 x14ac:dyDescent="0.25">
      <c r="A211" s="4">
        <v>809</v>
      </c>
      <c r="B211" s="18" t="s">
        <v>228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 x14ac:dyDescent="0.25">
      <c r="A212" s="4">
        <v>810</v>
      </c>
      <c r="B212" s="18" t="s">
        <v>229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 x14ac:dyDescent="0.25">
      <c r="A213" s="4">
        <v>811</v>
      </c>
      <c r="B213" s="18" t="s">
        <v>230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x14ac:dyDescent="0.25">
      <c r="A214" s="4">
        <v>812</v>
      </c>
      <c r="B214" s="18" t="s">
        <v>231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 x14ac:dyDescent="0.25">
      <c r="A215" s="4">
        <v>813</v>
      </c>
      <c r="B215" s="18" t="s">
        <v>232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 x14ac:dyDescent="0.25">
      <c r="A216" s="4">
        <v>814</v>
      </c>
      <c r="B216" s="18" t="s">
        <v>233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 x14ac:dyDescent="0.25">
      <c r="A217" s="4">
        <v>816</v>
      </c>
      <c r="B217" s="18" t="s">
        <v>234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 x14ac:dyDescent="0.25">
      <c r="A218" s="4">
        <v>817</v>
      </c>
      <c r="B218" s="18" t="s">
        <v>235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 x14ac:dyDescent="0.25">
      <c r="A219" s="4">
        <v>818</v>
      </c>
      <c r="B219" s="18" t="s">
        <v>236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 x14ac:dyDescent="0.25">
      <c r="A220" s="4">
        <v>819</v>
      </c>
      <c r="B220" s="18" t="s">
        <v>237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 x14ac:dyDescent="0.25">
      <c r="A221" s="4">
        <v>820</v>
      </c>
      <c r="B221" s="18" t="s">
        <v>238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 x14ac:dyDescent="0.25">
      <c r="A222" s="4">
        <v>821</v>
      </c>
      <c r="B222" s="18" t="s">
        <v>239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 x14ac:dyDescent="0.25">
      <c r="A223" s="4">
        <v>822</v>
      </c>
      <c r="B223" s="18" t="s">
        <v>240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 x14ac:dyDescent="0.25">
      <c r="A224" s="4">
        <v>823</v>
      </c>
      <c r="B224" s="18" t="s">
        <v>241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 x14ac:dyDescent="0.25">
      <c r="A225" s="4">
        <v>824</v>
      </c>
      <c r="B225" s="18" t="s">
        <v>242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 x14ac:dyDescent="0.25">
      <c r="A226" s="4">
        <v>825</v>
      </c>
      <c r="B226" s="18" t="s">
        <v>243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 x14ac:dyDescent="0.25">
      <c r="A227" s="4">
        <v>826</v>
      </c>
      <c r="B227" s="18" t="s">
        <v>244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x14ac:dyDescent="0.25">
      <c r="A228" s="4">
        <v>827</v>
      </c>
      <c r="B228" s="18" t="s">
        <v>245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 x14ac:dyDescent="0.25">
      <c r="A229" s="4">
        <v>828</v>
      </c>
      <c r="B229" s="18" t="s">
        <v>246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25.5" x14ac:dyDescent="0.25">
      <c r="A230" s="4">
        <v>829</v>
      </c>
      <c r="B230" s="18" t="s">
        <v>247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x14ac:dyDescent="0.25">
      <c r="A231" s="4">
        <v>830</v>
      </c>
      <c r="B231" s="18" t="s">
        <v>248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x14ac:dyDescent="0.25">
      <c r="A232" s="4">
        <v>831</v>
      </c>
      <c r="B232" s="18" t="s">
        <v>249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 x14ac:dyDescent="0.25">
      <c r="A233" s="4">
        <v>833</v>
      </c>
      <c r="B233" s="18" t="s">
        <v>250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 x14ac:dyDescent="0.25">
      <c r="A234" s="4">
        <v>834</v>
      </c>
      <c r="B234" s="18" t="s">
        <v>251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 x14ac:dyDescent="0.25">
      <c r="A235" s="4">
        <v>835</v>
      </c>
      <c r="B235" s="18" t="s">
        <v>252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 x14ac:dyDescent="0.25">
      <c r="A236" s="4">
        <v>836</v>
      </c>
      <c r="B236" s="18" t="s">
        <v>253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 x14ac:dyDescent="0.25">
      <c r="A237" s="4">
        <v>837</v>
      </c>
      <c r="B237" s="18" t="s">
        <v>254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 x14ac:dyDescent="0.25">
      <c r="A238" s="4">
        <v>838</v>
      </c>
      <c r="B238" s="18" t="s">
        <v>255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 x14ac:dyDescent="0.25">
      <c r="A239" s="4">
        <v>839</v>
      </c>
      <c r="B239" s="18" t="s">
        <v>256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 x14ac:dyDescent="0.25">
      <c r="A240" s="4">
        <v>840</v>
      </c>
      <c r="B240" s="18" t="s">
        <v>257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25.5" x14ac:dyDescent="0.25">
      <c r="A241" s="4">
        <v>841</v>
      </c>
      <c r="B241" s="18" t="s">
        <v>258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 x14ac:dyDescent="0.25">
      <c r="A242" s="4">
        <v>842</v>
      </c>
      <c r="B242" s="18" t="s">
        <v>259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 x14ac:dyDescent="0.25">
      <c r="A243" s="4">
        <v>843</v>
      </c>
      <c r="B243" s="18" t="s">
        <v>260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 x14ac:dyDescent="0.25">
      <c r="A244" s="4">
        <v>844</v>
      </c>
      <c r="B244" s="18" t="s">
        <v>261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x14ac:dyDescent="0.25">
      <c r="A245" s="4">
        <v>847</v>
      </c>
      <c r="B245" s="18" t="s">
        <v>262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x14ac:dyDescent="0.25">
      <c r="A246" s="4">
        <v>848</v>
      </c>
      <c r="B246" s="18" t="s">
        <v>263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x14ac:dyDescent="0.25">
      <c r="A247" s="4">
        <v>849</v>
      </c>
      <c r="B247" s="18" t="s">
        <v>264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 x14ac:dyDescent="0.25">
      <c r="A248" s="4">
        <v>850</v>
      </c>
      <c r="B248" s="18" t="s">
        <v>265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 x14ac:dyDescent="0.25">
      <c r="A249" s="4">
        <v>851</v>
      </c>
      <c r="B249" s="18" t="s">
        <v>266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 x14ac:dyDescent="0.25">
      <c r="A250" s="4">
        <v>852</v>
      </c>
      <c r="B250" s="18" t="s">
        <v>267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 x14ac:dyDescent="0.25">
      <c r="A251" s="4">
        <v>853</v>
      </c>
      <c r="B251" s="18" t="s">
        <v>268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 x14ac:dyDescent="0.25">
      <c r="A252" s="4">
        <v>855</v>
      </c>
      <c r="B252" s="18" t="s">
        <v>269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 x14ac:dyDescent="0.25">
      <c r="A253" s="4">
        <v>856</v>
      </c>
      <c r="B253" s="18" t="s">
        <v>270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x14ac:dyDescent="0.25">
      <c r="A254" s="4">
        <v>857</v>
      </c>
      <c r="B254" s="18" t="s">
        <v>271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65</v>
      </c>
      <c r="H254" s="4"/>
      <c r="I254" s="2"/>
      <c r="J254" s="3"/>
      <c r="K254" s="7"/>
    </row>
    <row r="255" spans="1:11" x14ac:dyDescent="0.25">
      <c r="A255" s="4">
        <v>858</v>
      </c>
      <c r="B255" s="18" t="s">
        <v>272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 x14ac:dyDescent="0.25">
      <c r="A256" s="4">
        <v>859</v>
      </c>
      <c r="B256" s="18" t="s">
        <v>273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 x14ac:dyDescent="0.25">
      <c r="A257" s="4">
        <v>860</v>
      </c>
      <c r="B257" s="18" t="s">
        <v>274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 x14ac:dyDescent="0.25">
      <c r="A258" s="4">
        <v>861</v>
      </c>
      <c r="B258" s="18" t="s">
        <v>275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x14ac:dyDescent="0.25">
      <c r="A259" s="4">
        <v>862</v>
      </c>
      <c r="B259" s="18" t="s">
        <v>276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x14ac:dyDescent="0.25">
      <c r="A260" s="4">
        <v>863</v>
      </c>
      <c r="B260" s="18" t="s">
        <v>277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 x14ac:dyDescent="0.25">
      <c r="A261" s="4">
        <v>864</v>
      </c>
      <c r="B261" s="18" t="s">
        <v>278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 x14ac:dyDescent="0.25">
      <c r="A262" s="4">
        <v>868</v>
      </c>
      <c r="B262" s="18" t="s">
        <v>279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 x14ac:dyDescent="0.25">
      <c r="A263" s="4">
        <v>869</v>
      </c>
      <c r="B263" s="18" t="s">
        <v>280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 x14ac:dyDescent="0.25">
      <c r="A264" s="4">
        <v>870</v>
      </c>
      <c r="B264" s="18" t="s">
        <v>281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 x14ac:dyDescent="0.25">
      <c r="A265" s="4">
        <v>871</v>
      </c>
      <c r="B265" s="18" t="s">
        <v>282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 x14ac:dyDescent="0.25">
      <c r="A266" s="4">
        <v>872</v>
      </c>
      <c r="B266" s="18" t="s">
        <v>283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 x14ac:dyDescent="0.25">
      <c r="A267" s="4">
        <v>873</v>
      </c>
      <c r="B267" s="18" t="s">
        <v>284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 x14ac:dyDescent="0.25">
      <c r="A268" s="4">
        <v>874</v>
      </c>
      <c r="B268" s="18" t="s">
        <v>285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x14ac:dyDescent="0.25">
      <c r="A269" s="4">
        <v>875</v>
      </c>
      <c r="B269" s="18" t="s">
        <v>286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 x14ac:dyDescent="0.25">
      <c r="A270" s="4">
        <v>880</v>
      </c>
      <c r="B270" s="18" t="s">
        <v>287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 x14ac:dyDescent="0.25">
      <c r="A271" s="4">
        <v>881</v>
      </c>
      <c r="B271" s="18" t="s">
        <v>288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 x14ac:dyDescent="0.25">
      <c r="A272" s="4">
        <v>882</v>
      </c>
      <c r="B272" s="18" t="s">
        <v>289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 x14ac:dyDescent="0.25">
      <c r="A273" s="4">
        <v>883</v>
      </c>
      <c r="B273" s="18" t="s">
        <v>290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 x14ac:dyDescent="0.25">
      <c r="A274" s="4">
        <v>884</v>
      </c>
      <c r="B274" s="18" t="s">
        <v>291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 x14ac:dyDescent="0.25">
      <c r="A275" s="4">
        <v>885</v>
      </c>
      <c r="B275" s="18" t="s">
        <v>292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 x14ac:dyDescent="0.25">
      <c r="A276" s="4">
        <v>886</v>
      </c>
      <c r="B276" s="18" t="s">
        <v>293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 x14ac:dyDescent="0.25">
      <c r="A277" s="4">
        <v>887</v>
      </c>
      <c r="B277" s="18" t="s">
        <v>294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 x14ac:dyDescent="0.25">
      <c r="A278" s="4">
        <v>888</v>
      </c>
      <c r="B278" s="18" t="s">
        <v>295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 x14ac:dyDescent="0.25">
      <c r="A279" s="4">
        <v>889</v>
      </c>
      <c r="B279" s="18" t="s">
        <v>296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 x14ac:dyDescent="0.25">
      <c r="A280" s="4">
        <v>890</v>
      </c>
      <c r="B280" s="18" t="s">
        <v>297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 x14ac:dyDescent="0.25">
      <c r="A281" s="4">
        <v>891</v>
      </c>
      <c r="B281" s="18" t="s">
        <v>298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 x14ac:dyDescent="0.25">
      <c r="A282" s="4">
        <v>892</v>
      </c>
      <c r="B282" s="18" t="s">
        <v>299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 x14ac:dyDescent="0.25">
      <c r="A283" s="4">
        <v>893</v>
      </c>
      <c r="B283" s="18" t="s">
        <v>300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 x14ac:dyDescent="0.25">
      <c r="A284" s="4">
        <v>903</v>
      </c>
      <c r="B284" s="18" t="s">
        <v>301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 x14ac:dyDescent="0.25">
      <c r="A285" s="4">
        <v>904</v>
      </c>
      <c r="B285" s="18" t="s">
        <v>302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 x14ac:dyDescent="0.25">
      <c r="A286" s="4">
        <v>905</v>
      </c>
      <c r="B286" s="18" t="s">
        <v>303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 x14ac:dyDescent="0.25">
      <c r="A287" s="4">
        <v>906</v>
      </c>
      <c r="B287" s="18" t="s">
        <v>304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 x14ac:dyDescent="0.25">
      <c r="A288" s="4">
        <v>907</v>
      </c>
      <c r="B288" s="18" t="s">
        <v>305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 x14ac:dyDescent="0.25">
      <c r="A289" s="4">
        <v>908</v>
      </c>
      <c r="B289" s="18" t="s">
        <v>306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78</v>
      </c>
      <c r="H289" s="4"/>
      <c r="I289" s="2"/>
      <c r="J289" s="3"/>
      <c r="K289" s="7"/>
    </row>
    <row r="290" spans="1:11" x14ac:dyDescent="0.25">
      <c r="A290" s="4">
        <v>909</v>
      </c>
      <c r="B290" s="18" t="s">
        <v>307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 x14ac:dyDescent="0.25">
      <c r="A291" s="4">
        <v>910</v>
      </c>
      <c r="B291" s="18" t="s">
        <v>308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 x14ac:dyDescent="0.25">
      <c r="A292" s="4">
        <v>911</v>
      </c>
      <c r="B292" s="18" t="s">
        <v>309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 x14ac:dyDescent="0.25">
      <c r="A293" s="4">
        <v>912</v>
      </c>
      <c r="B293" s="18" t="s">
        <v>310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 x14ac:dyDescent="0.25">
      <c r="A294" s="4">
        <v>913</v>
      </c>
      <c r="B294" s="18" t="s">
        <v>311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 x14ac:dyDescent="0.25">
      <c r="A295" s="4">
        <v>914</v>
      </c>
      <c r="B295" s="18" t="s">
        <v>312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 x14ac:dyDescent="0.25">
      <c r="A296" s="4">
        <v>915</v>
      </c>
      <c r="B296" s="18" t="s">
        <v>313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 x14ac:dyDescent="0.25">
      <c r="A297" s="4">
        <v>916</v>
      </c>
      <c r="B297" s="18" t="s">
        <v>314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 x14ac:dyDescent="0.25">
      <c r="A298" s="4">
        <v>917</v>
      </c>
      <c r="B298" s="18" t="s">
        <v>181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 x14ac:dyDescent="0.25">
      <c r="A299" s="4">
        <v>918</v>
      </c>
      <c r="B299" s="18" t="s">
        <v>315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 x14ac:dyDescent="0.25">
      <c r="A300" s="4">
        <v>919</v>
      </c>
      <c r="B300" s="18" t="s">
        <v>316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 x14ac:dyDescent="0.25">
      <c r="A301" s="4">
        <v>920</v>
      </c>
      <c r="B301" s="18" t="s">
        <v>317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 x14ac:dyDescent="0.25">
      <c r="A302" s="4">
        <v>921</v>
      </c>
      <c r="B302" s="18" t="s">
        <v>318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 x14ac:dyDescent="0.25">
      <c r="A303" s="4">
        <v>922</v>
      </c>
      <c r="B303" s="18" t="s">
        <v>319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 x14ac:dyDescent="0.25">
      <c r="A304" s="4">
        <v>923</v>
      </c>
      <c r="B304" s="18" t="s">
        <v>320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x14ac:dyDescent="0.25">
      <c r="A305" s="4">
        <v>924</v>
      </c>
      <c r="B305" s="18" t="s">
        <v>321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 x14ac:dyDescent="0.25">
      <c r="A306" s="4">
        <v>925</v>
      </c>
      <c r="B306" s="18" t="s">
        <v>96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 x14ac:dyDescent="0.25">
      <c r="A307" s="4">
        <v>926</v>
      </c>
      <c r="B307" s="18" t="s">
        <v>322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 x14ac:dyDescent="0.25">
      <c r="A308" s="4">
        <v>927</v>
      </c>
      <c r="B308" s="18" t="s">
        <v>323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 x14ac:dyDescent="0.25">
      <c r="A309" s="4">
        <v>928</v>
      </c>
      <c r="B309" s="18" t="s">
        <v>324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 x14ac:dyDescent="0.25">
      <c r="A310" s="4">
        <v>929</v>
      </c>
      <c r="B310" s="18" t="s">
        <v>325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 x14ac:dyDescent="0.25">
      <c r="A311" s="4">
        <v>930</v>
      </c>
      <c r="B311" s="18" t="s">
        <v>326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67</v>
      </c>
      <c r="H311" s="4"/>
      <c r="I311" s="2"/>
      <c r="J311" s="3"/>
      <c r="K311" s="7"/>
    </row>
    <row r="312" spans="1:11" x14ac:dyDescent="0.25">
      <c r="A312" s="4">
        <v>931</v>
      </c>
      <c r="B312" s="18" t="s">
        <v>327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 x14ac:dyDescent="0.25">
      <c r="A313" s="4">
        <v>932</v>
      </c>
      <c r="B313" s="18" t="s">
        <v>328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 x14ac:dyDescent="0.25">
      <c r="A314" s="4">
        <v>933</v>
      </c>
      <c r="B314" s="18" t="s">
        <v>329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 x14ac:dyDescent="0.25">
      <c r="A315" s="4">
        <v>934</v>
      </c>
      <c r="B315" s="18" t="s">
        <v>330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 x14ac:dyDescent="0.25">
      <c r="A316" s="4">
        <v>935</v>
      </c>
      <c r="B316" s="18" t="s">
        <v>331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 x14ac:dyDescent="0.25">
      <c r="A317" s="4">
        <v>936</v>
      </c>
      <c r="B317" s="18" t="s">
        <v>332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 x14ac:dyDescent="0.25">
      <c r="A318" s="4">
        <v>937</v>
      </c>
      <c r="B318" s="18" t="s">
        <v>333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x14ac:dyDescent="0.25">
      <c r="A319" s="4">
        <v>938</v>
      </c>
      <c r="B319" s="18" t="s">
        <v>334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x14ac:dyDescent="0.25">
      <c r="A320" s="4">
        <v>939</v>
      </c>
      <c r="B320" s="18" t="s">
        <v>335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 x14ac:dyDescent="0.25">
      <c r="A321" s="4">
        <v>940</v>
      </c>
      <c r="B321" s="18" t="s">
        <v>336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78</v>
      </c>
      <c r="H321" s="4"/>
      <c r="I321" s="2"/>
      <c r="J321" s="3"/>
      <c r="K321" s="7"/>
    </row>
    <row r="322" spans="1:11" x14ac:dyDescent="0.25">
      <c r="A322" s="4">
        <v>941</v>
      </c>
      <c r="B322" s="18" t="s">
        <v>337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73</v>
      </c>
      <c r="H322" s="4"/>
      <c r="I322" s="2"/>
      <c r="J322" s="3"/>
      <c r="K322" s="7"/>
    </row>
    <row r="323" spans="1:11" x14ac:dyDescent="0.25">
      <c r="A323" s="4">
        <v>942</v>
      </c>
      <c r="B323" s="18" t="s">
        <v>338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76</v>
      </c>
      <c r="H323" s="4"/>
      <c r="I323" s="2"/>
      <c r="J323" s="3"/>
      <c r="K323" s="7"/>
    </row>
    <row r="324" spans="1:11" x14ac:dyDescent="0.25">
      <c r="A324" s="4">
        <v>943</v>
      </c>
      <c r="B324" s="18" t="s">
        <v>339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 x14ac:dyDescent="0.25">
      <c r="A325" s="4">
        <v>944</v>
      </c>
      <c r="B325" s="18" t="s">
        <v>340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67</v>
      </c>
      <c r="H325" s="4"/>
      <c r="I325" s="2"/>
      <c r="J325" s="3"/>
      <c r="K325" s="7"/>
    </row>
    <row r="326" spans="1:11" x14ac:dyDescent="0.25">
      <c r="A326" s="4">
        <v>945</v>
      </c>
      <c r="B326" s="18" t="s">
        <v>341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67</v>
      </c>
      <c r="H326" s="4"/>
      <c r="I326" s="2">
        <v>669</v>
      </c>
      <c r="J326" s="3"/>
      <c r="K326" s="7"/>
    </row>
    <row r="327" spans="1:11" x14ac:dyDescent="0.25">
      <c r="A327" s="4">
        <v>946</v>
      </c>
      <c r="B327" s="18" t="s">
        <v>342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x14ac:dyDescent="0.25">
      <c r="A328" s="4">
        <v>947</v>
      </c>
      <c r="B328" s="18" t="s">
        <v>343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 x14ac:dyDescent="0.25">
      <c r="A329" s="4">
        <v>948</v>
      </c>
      <c r="B329" s="18" t="s">
        <v>344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67</v>
      </c>
      <c r="H329" s="4"/>
      <c r="I329" s="2">
        <v>620</v>
      </c>
      <c r="J329" s="3"/>
      <c r="K329" s="7"/>
    </row>
    <row r="330" spans="1:11" x14ac:dyDescent="0.25">
      <c r="A330" s="4">
        <v>949</v>
      </c>
      <c r="B330" s="18" t="s">
        <v>345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 x14ac:dyDescent="0.25">
      <c r="A331" s="4">
        <v>950</v>
      </c>
      <c r="B331" s="18" t="s">
        <v>346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 x14ac:dyDescent="0.25">
      <c r="A332" s="4">
        <v>951</v>
      </c>
      <c r="B332" s="18" t="s">
        <v>347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 x14ac:dyDescent="0.25">
      <c r="A333" s="4">
        <v>952</v>
      </c>
      <c r="B333" s="18" t="s">
        <v>348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 x14ac:dyDescent="0.25">
      <c r="A334" s="4">
        <v>953</v>
      </c>
      <c r="B334" s="18" t="s">
        <v>349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 x14ac:dyDescent="0.25">
      <c r="A335" s="4">
        <v>954</v>
      </c>
      <c r="B335" s="18" t="s">
        <v>350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 x14ac:dyDescent="0.25">
      <c r="A336" s="4">
        <v>955</v>
      </c>
      <c r="B336" s="18" t="s">
        <v>351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 x14ac:dyDescent="0.25">
      <c r="A337" s="4">
        <v>956</v>
      </c>
      <c r="B337" s="18" t="s">
        <v>352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 x14ac:dyDescent="0.25">
      <c r="A338" s="4">
        <v>957</v>
      </c>
      <c r="B338" s="18" t="s">
        <v>353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 x14ac:dyDescent="0.25">
      <c r="A339" s="4">
        <v>959</v>
      </c>
      <c r="B339" s="18" t="s">
        <v>354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 x14ac:dyDescent="0.25">
      <c r="A340" s="4">
        <v>960</v>
      </c>
      <c r="B340" s="18" t="s">
        <v>355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 x14ac:dyDescent="0.25">
      <c r="A341" s="4">
        <v>961</v>
      </c>
      <c r="B341" s="18" t="s">
        <v>356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 x14ac:dyDescent="0.25">
      <c r="A342" s="4">
        <v>962</v>
      </c>
      <c r="B342" s="18" t="s">
        <v>357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 x14ac:dyDescent="0.25">
      <c r="A343" s="4">
        <v>963</v>
      </c>
      <c r="B343" s="18" t="s">
        <v>358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 x14ac:dyDescent="0.25">
      <c r="A344" s="4">
        <v>964</v>
      </c>
      <c r="B344" s="18" t="s">
        <v>359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 x14ac:dyDescent="0.25">
      <c r="A345" s="4">
        <v>965</v>
      </c>
      <c r="B345" s="18" t="s">
        <v>360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 x14ac:dyDescent="0.25">
      <c r="A346" s="4">
        <v>966</v>
      </c>
      <c r="B346" s="18" t="s">
        <v>361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 x14ac:dyDescent="0.25">
      <c r="A347" s="4">
        <v>967</v>
      </c>
      <c r="B347" s="18" t="s">
        <v>362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 x14ac:dyDescent="0.25">
      <c r="A348" s="4">
        <v>969</v>
      </c>
      <c r="B348" s="18" t="s">
        <v>363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 x14ac:dyDescent="0.25">
      <c r="A349" s="4">
        <v>970</v>
      </c>
      <c r="B349" s="18" t="s">
        <v>364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 x14ac:dyDescent="0.25">
      <c r="A350" s="4">
        <v>971</v>
      </c>
      <c r="B350" s="18" t="s">
        <v>365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 x14ac:dyDescent="0.25">
      <c r="A351" s="4">
        <v>972</v>
      </c>
      <c r="B351" s="18" t="s">
        <v>366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 x14ac:dyDescent="0.25">
      <c r="A352" s="4">
        <v>973</v>
      </c>
      <c r="B352" s="18" t="s">
        <v>367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 x14ac:dyDescent="0.25">
      <c r="A353" s="4">
        <v>974</v>
      </c>
      <c r="B353" s="18" t="s">
        <v>368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 x14ac:dyDescent="0.25">
      <c r="A354" s="4">
        <v>976</v>
      </c>
      <c r="B354" s="18" t="s">
        <v>192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 x14ac:dyDescent="0.25">
      <c r="A355" s="4">
        <v>977</v>
      </c>
      <c r="B355" s="18" t="s">
        <v>369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 x14ac:dyDescent="0.25">
      <c r="A356" s="4">
        <v>978</v>
      </c>
      <c r="B356" s="18" t="s">
        <v>193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 x14ac:dyDescent="0.25">
      <c r="A357" s="4">
        <v>979</v>
      </c>
      <c r="B357" s="18" t="s">
        <v>370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 x14ac:dyDescent="0.25">
      <c r="A358" s="4">
        <v>980</v>
      </c>
      <c r="B358" s="18" t="s">
        <v>371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 x14ac:dyDescent="0.25">
      <c r="A359" s="4">
        <v>981</v>
      </c>
      <c r="B359" s="18" t="s">
        <v>372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 x14ac:dyDescent="0.25">
      <c r="A360" s="4">
        <v>982</v>
      </c>
      <c r="B360" s="18" t="s">
        <v>373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 x14ac:dyDescent="0.25">
      <c r="A361" s="4">
        <v>983</v>
      </c>
      <c r="B361" s="18" t="s">
        <v>374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x14ac:dyDescent="0.25">
      <c r="A362" s="4">
        <v>984</v>
      </c>
      <c r="B362" s="18" t="s">
        <v>375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 x14ac:dyDescent="0.25">
      <c r="A363" s="4">
        <v>985</v>
      </c>
      <c r="B363" s="18" t="s">
        <v>376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 x14ac:dyDescent="0.25">
      <c r="A364" s="4">
        <v>986</v>
      </c>
      <c r="B364" s="18" t="s">
        <v>377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 x14ac:dyDescent="0.25">
      <c r="A365" s="4">
        <v>987</v>
      </c>
      <c r="B365" s="18" t="s">
        <v>378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 x14ac:dyDescent="0.25">
      <c r="A366" s="4">
        <v>990</v>
      </c>
      <c r="B366" s="18" t="s">
        <v>379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 x14ac:dyDescent="0.25">
      <c r="A367" s="4">
        <v>991</v>
      </c>
      <c r="B367" s="18" t="s">
        <v>380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 x14ac:dyDescent="0.25">
      <c r="A368" s="4">
        <v>992</v>
      </c>
      <c r="B368" s="18" t="s">
        <v>381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 x14ac:dyDescent="0.25">
      <c r="A369" s="4">
        <v>993</v>
      </c>
      <c r="B369" s="18" t="s">
        <v>382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 x14ac:dyDescent="0.25">
      <c r="A370" s="4">
        <v>994</v>
      </c>
      <c r="B370" s="18" t="s">
        <v>383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 x14ac:dyDescent="0.25">
      <c r="A371" s="4">
        <v>995</v>
      </c>
      <c r="B371" s="18" t="s">
        <v>384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 x14ac:dyDescent="0.25">
      <c r="A372" s="4">
        <v>999</v>
      </c>
      <c r="B372" s="18" t="s">
        <v>385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1osopXLwW/14GjLpAot5/tmu5npxVR0mzpDsd1mIgbvbECl6na7F3tXNT2cC2+zS/XQR/gfawVRZ4B2FZBPwkA==" saltValue="XqrZP64thfogp79MNUdD8g==" spinCount="100000" sheet="1" objects="1" scenarios="1"/>
  <phoneticPr fontId="13" type="noConversion"/>
  <conditionalFormatting sqref="K147">
    <cfRule type="cellIs" dxfId="6" priority="1" operator="greaterThan">
      <formula>0</formula>
    </cfRule>
  </conditionalFormatting>
  <conditionalFormatting sqref="K146 K144 K140:K141 K137:K138 K5:K135 K1:K2 K148:K372">
    <cfRule type="cellIs" dxfId="5" priority="7" operator="greaterThan">
      <formula>0</formula>
    </cfRule>
  </conditionalFormatting>
  <conditionalFormatting sqref="K136">
    <cfRule type="cellIs" dxfId="4" priority="6" operator="greaterThan">
      <formula>0</formula>
    </cfRule>
  </conditionalFormatting>
  <conditionalFormatting sqref="K139">
    <cfRule type="cellIs" dxfId="3" priority="5" operator="greaterThan">
      <formula>0</formula>
    </cfRule>
  </conditionalFormatting>
  <conditionalFormatting sqref="K142">
    <cfRule type="cellIs" dxfId="2" priority="4" operator="greaterThan">
      <formula>0</formula>
    </cfRule>
  </conditionalFormatting>
  <conditionalFormatting sqref="K143">
    <cfRule type="cellIs" dxfId="1" priority="3" operator="greaterThan">
      <formula>0</formula>
    </cfRule>
  </conditionalFormatting>
  <conditionalFormatting sqref="K145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60</vt:i4>
      </vt:variant>
    </vt:vector>
  </HeadingPairs>
  <TitlesOfParts>
    <vt:vector size="62" baseType="lpstr">
      <vt:lpstr>Recibo</vt:lpstr>
      <vt:lpstr>Cargos</vt:lpstr>
      <vt:lpstr>adicdir2016</vt:lpstr>
      <vt:lpstr>adicdir2022</vt:lpstr>
      <vt:lpstr>adichsmedia</vt:lpstr>
      <vt:lpstr>adicnina</vt:lpstr>
      <vt:lpstr>aumentodiciembre26</vt:lpstr>
      <vt:lpstr>aumentojulio26</vt:lpstr>
      <vt:lpstr>aumentomayo26</vt:lpstr>
      <vt:lpstr>aumentonoviembre26</vt:lpstr>
      <vt:lpstr>aumentoseptiembre26</vt:lpstr>
      <vt:lpstr>cod06cargosdic25</vt:lpstr>
      <vt:lpstr>cod06dic25</vt:lpstr>
      <vt:lpstr>compbasico2016</vt:lpstr>
      <vt:lpstr>descreformacargo</vt:lpstr>
      <vt:lpstr>descreformamed</vt:lpstr>
      <vt:lpstr>descreformasup</vt:lpstr>
      <vt:lpstr>frac</vt:lpstr>
      <vt:lpstr>indicedic25</vt:lpstr>
      <vt:lpstr>indicedic26</vt:lpstr>
      <vt:lpstr>indicejul26</vt:lpstr>
      <vt:lpstr>indicemay26</vt:lpstr>
      <vt:lpstr>indicenov26</vt:lpstr>
      <vt:lpstr>Indiceproljordic25</vt:lpstr>
      <vt:lpstr>Indiceproljordic26</vt:lpstr>
      <vt:lpstr>Indiceproljorjul26</vt:lpstr>
      <vt:lpstr>Indiceproljormay26</vt:lpstr>
      <vt:lpstr>Indiceproljornov26</vt:lpstr>
      <vt:lpstr>Indiceproljorsep26</vt:lpstr>
      <vt:lpstr>indicesep26</vt:lpstr>
      <vt:lpstr>NEP</vt:lpstr>
      <vt:lpstr>nina</vt:lpstr>
      <vt:lpstr>nombrecargo</vt:lpstr>
      <vt:lpstr>numcargo</vt:lpstr>
      <vt:lpstr>numerocargo</vt:lpstr>
      <vt:lpstr>numhorasmed</vt:lpstr>
      <vt:lpstr>numhorassup</vt:lpstr>
      <vt:lpstr>porant</vt:lpstr>
      <vt:lpstr>porcantigcargo</vt:lpstr>
      <vt:lpstr>porcantighorasmed</vt:lpstr>
      <vt:lpstr>porcantigsup</vt:lpstr>
      <vt:lpstr>porczona</vt:lpstr>
      <vt:lpstr>porjubcar</vt:lpstr>
      <vt:lpstr>porjubhormed</vt:lpstr>
      <vt:lpstr>porjubhorsup</vt:lpstr>
      <vt:lpstr>proljor</vt:lpstr>
      <vt:lpstr>punbascargo</vt:lpstr>
      <vt:lpstr>punbasjub</vt:lpstr>
      <vt:lpstr>punexten</vt:lpstr>
      <vt:lpstr>puntosadicdir2016</vt:lpstr>
      <vt:lpstr>puntosadicdir2022</vt:lpstr>
      <vt:lpstr>puntosadicnina</vt:lpstr>
      <vt:lpstr>PUNTOSbasicos</vt:lpstr>
      <vt:lpstr>puntoscompbas2016</vt:lpstr>
      <vt:lpstr>puntosnep</vt:lpstr>
      <vt:lpstr>puntosproljor</vt:lpstr>
      <vt:lpstr>puntosproljornada</vt:lpstr>
      <vt:lpstr>puntostareadifer</vt:lpstr>
      <vt:lpstr>puntostotalhorassup</vt:lpstr>
      <vt:lpstr>puntotalhorasmed</vt:lpstr>
      <vt:lpstr>solohorassup</vt:lpstr>
      <vt:lpstr>tardif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2026-03-30T12:56:40Z</dcterms:created>
  <dcterms:modified xsi:type="dcterms:W3CDTF">2026-09-23T19:37:08Z</dcterms:modified>
</cp:coreProperties>
</file>