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spaso\AGMER\Simuladores hasta 2022\"/>
    </mc:Choice>
  </mc:AlternateContent>
  <xr:revisionPtr revIDLastSave="0" documentId="13_ncr:1_{75218C6C-168D-4D43-A17D-71ADEB494118}" xr6:coauthVersionLast="47" xr6:coauthVersionMax="47" xr10:uidLastSave="{00000000-0000-0000-0000-000000000000}"/>
  <bookViews>
    <workbookView xWindow="-120" yWindow="-120" windowWidth="20730" windowHeight="11760" xr2:uid="{31A7B1E3-6745-4729-B704-DB84D93086D6}"/>
  </bookViews>
  <sheets>
    <sheet name="Recibo" sheetId="1" r:id="rId1"/>
    <sheet name="Cargos" sheetId="2" r:id="rId2"/>
  </sheets>
  <definedNames>
    <definedName name="adicdir2016">Cargos!$F$3:$F$372</definedName>
    <definedName name="adicdir2022">Cargos!$G$3:$G$372</definedName>
    <definedName name="adichsmedia">Recibo!$D$217</definedName>
    <definedName name="adicnina">Cargos!$J$3:$J$372</definedName>
    <definedName name="Aumentojulio26">Recibo!$D$47</definedName>
    <definedName name="Aumentomayo26">Recibo!$D$46</definedName>
    <definedName name="Aumentonoviembre26">Recibo!$F$47</definedName>
    <definedName name="Aumentooctubre26">Recibo!$F$46</definedName>
    <definedName name="Aumentoseptiembre26">Recibo!$D$48</definedName>
    <definedName name="canthor06med">Recibo!$D$215</definedName>
    <definedName name="canthor06sup">Recibo!$D$355</definedName>
    <definedName name="canthorincmed">Recibo!$D$216</definedName>
    <definedName name="canthorincsup">Recibo!$D$356</definedName>
    <definedName name="canthormed">Recibo!$D$211</definedName>
    <definedName name="canthorsup">Recibo!$D$351</definedName>
    <definedName name="cantkm">Recibo!$D$65</definedName>
    <definedName name="cantkmhm">Recibo!$D$219</definedName>
    <definedName name="cantkmhs">Recibo!$D$358</definedName>
    <definedName name="codigo06cargosdic25">Recibo!$I$18:$I$29</definedName>
    <definedName name="compbas16">Cargos!$D$3:$D$372</definedName>
    <definedName name="compbas2016">Recibo!$E$58</definedName>
    <definedName name="compdir16">Recibo!$G$58</definedName>
    <definedName name="compdir22">Recibo!$H$58</definedName>
    <definedName name="escalaañosantig">Recibo!$D$18:$D$29</definedName>
    <definedName name="escalaporcantig">Recibo!$E$18:$E$29</definedName>
    <definedName name="exten">Recibo!$D$68</definedName>
    <definedName name="indicedic25">Recibo!$D$43</definedName>
    <definedName name="indicejul26">Recibo!$H$43</definedName>
    <definedName name="indicemay26">Recibo!$F$43</definedName>
    <definedName name="indicenov26">Recibo!$N$43</definedName>
    <definedName name="indiceoct26">Recibo!$L$43</definedName>
    <definedName name="Indiceproljordic25">Recibo!$D$44</definedName>
    <definedName name="Indiceproljorjul26">Recibo!$H$44</definedName>
    <definedName name="Indiceproljormay26">Recibo!$F$44</definedName>
    <definedName name="Indiceproljornov26">Recibo!$N$44</definedName>
    <definedName name="Indiceproljoroct26">Recibo!$L$44</definedName>
    <definedName name="Indiceproljorsep26">Recibo!$J$44</definedName>
    <definedName name="indicesep26">Recibo!$J$43</definedName>
    <definedName name="kmsem">Recibo!$C$158</definedName>
    <definedName name="kmsemhsmed">Recibo!$C$297</definedName>
    <definedName name="kmsemhssup">Recibo!$C$424</definedName>
    <definedName name="nina">Recibo!$D$62</definedName>
    <definedName name="nombrecargo">Cargos!$B$3:$B$372</definedName>
    <definedName name="numcargo">Cargos!$A$3:$A$372</definedName>
    <definedName name="poragmer">Recibo!$C$439</definedName>
    <definedName name="porant">Recibo!$H$18:$H$29</definedName>
    <definedName name="porantigcargo">Recibo!$D$64</definedName>
    <definedName name="porantighormed">Recibo!$D$213</definedName>
    <definedName name="porantighorsup">Recibo!$D$353</definedName>
    <definedName name="poros">Recibo!$C$438</definedName>
    <definedName name="porzonacargo">Recibo!$C$153</definedName>
    <definedName name="porzonahsmed">Recibo!$C$296</definedName>
    <definedName name="punbascar">Recibo!$D$66</definedName>
    <definedName name="punbascargo">Cargos!$C$3:$C$372</definedName>
    <definedName name="punbashormed">Recibo!$D$221</definedName>
    <definedName name="punbashorsup">Recibo!$D$359</definedName>
    <definedName name="punexten">Cargos!$K$3:$K$372</definedName>
    <definedName name="punproljorcargo">Cargos!$I$3:$I$372</definedName>
    <definedName name="puntardifcargo">Cargos!$H$3:$H$372</definedName>
    <definedName name="puntosadicnina">Recibo!$F$58</definedName>
    <definedName name="PUNTOSbasicos">Recibo!$B$58</definedName>
    <definedName name="puntosexten">Recibo!$I$58</definedName>
    <definedName name="puntosproljor">Recibo!$D$67</definedName>
    <definedName name="puntostardif">Recibo!$C$58</definedName>
    <definedName name="totalremdic25">Recibo!$N$179</definedName>
    <definedName name="totalremjul26">Recibo!$H$179</definedName>
    <definedName name="totalremmay26">Recibo!$K$179</definedName>
    <definedName name="totalremnov26">Recibo!#REF!</definedName>
    <definedName name="totalremoct26">Recibo!#REF!</definedName>
    <definedName name="totalremsep26">Recibo!$E$179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32" i="1" l="1"/>
  <c r="H431" i="1"/>
  <c r="E432" i="1"/>
  <c r="E431" i="1"/>
  <c r="H305" i="1"/>
  <c r="H304" i="1"/>
  <c r="E305" i="1"/>
  <c r="E304" i="1"/>
  <c r="D371" i="1"/>
  <c r="D235" i="1"/>
  <c r="D236" i="1"/>
  <c r="D87" i="1"/>
  <c r="E94" i="1"/>
  <c r="E423" i="1"/>
  <c r="F421" i="1"/>
  <c r="Q423" i="1"/>
  <c r="N423" i="1"/>
  <c r="E298" i="1" l="1"/>
  <c r="E294" i="1"/>
  <c r="F54" i="1"/>
  <c r="F53" i="1"/>
  <c r="M46" i="1"/>
  <c r="M45" i="1"/>
  <c r="K46" i="1"/>
  <c r="K45" i="1"/>
  <c r="E436" i="1"/>
  <c r="F436" i="1" s="1"/>
  <c r="F380" i="1" s="1"/>
  <c r="E376" i="1"/>
  <c r="E375" i="1"/>
  <c r="E429" i="1"/>
  <c r="E412" i="1"/>
  <c r="E410" i="1"/>
  <c r="E408" i="1"/>
  <c r="E407" i="1"/>
  <c r="E406" i="1"/>
  <c r="E405" i="1"/>
  <c r="F404" i="1"/>
  <c r="E404" i="1"/>
  <c r="E403" i="1"/>
  <c r="E402" i="1"/>
  <c r="E397" i="1"/>
  <c r="E396" i="1"/>
  <c r="E394" i="1"/>
  <c r="E393" i="1"/>
  <c r="E391" i="1"/>
  <c r="E390" i="1"/>
  <c r="E387" i="1"/>
  <c r="E374" i="1"/>
  <c r="E309" i="1"/>
  <c r="F309" i="1" s="1"/>
  <c r="F245" i="1" s="1"/>
  <c r="E241" i="1"/>
  <c r="E240" i="1"/>
  <c r="E303" i="1"/>
  <c r="E284" i="1"/>
  <c r="E283" i="1"/>
  <c r="E278" i="1"/>
  <c r="E276" i="1"/>
  <c r="E274" i="1"/>
  <c r="E273" i="1"/>
  <c r="E272" i="1"/>
  <c r="E271" i="1"/>
  <c r="F270" i="1"/>
  <c r="E270" i="1"/>
  <c r="E269" i="1"/>
  <c r="E268" i="1"/>
  <c r="E260" i="1"/>
  <c r="E259" i="1"/>
  <c r="E257" i="1"/>
  <c r="E256" i="1"/>
  <c r="E252" i="1"/>
  <c r="E172" i="1"/>
  <c r="F172" i="1" s="1"/>
  <c r="F102" i="1" s="1"/>
  <c r="E170" i="1"/>
  <c r="F170" i="1" s="1"/>
  <c r="F100" i="1" s="1"/>
  <c r="E167" i="1"/>
  <c r="F167" i="1" s="1"/>
  <c r="F97" i="1" s="1"/>
  <c r="E159" i="1"/>
  <c r="E133" i="1"/>
  <c r="E131" i="1"/>
  <c r="E129" i="1"/>
  <c r="E128" i="1"/>
  <c r="E127" i="1"/>
  <c r="E126" i="1"/>
  <c r="F125" i="1"/>
  <c r="E125" i="1"/>
  <c r="E124" i="1"/>
  <c r="F123" i="1"/>
  <c r="E123" i="1"/>
  <c r="E118" i="1"/>
  <c r="E117" i="1"/>
  <c r="E115" i="1"/>
  <c r="E114" i="1"/>
  <c r="E112" i="1"/>
  <c r="E111" i="1"/>
  <c r="F110" i="1"/>
  <c r="E110" i="1"/>
  <c r="F109" i="1"/>
  <c r="E108" i="1"/>
  <c r="E105" i="1"/>
  <c r="E101" i="1"/>
  <c r="F75" i="1"/>
  <c r="I75" i="1"/>
  <c r="H101" i="1"/>
  <c r="H105" i="1"/>
  <c r="H108" i="1"/>
  <c r="I109" i="1"/>
  <c r="H110" i="1"/>
  <c r="I110" i="1"/>
  <c r="H111" i="1"/>
  <c r="H112" i="1"/>
  <c r="H114" i="1"/>
  <c r="H115" i="1"/>
  <c r="H117" i="1"/>
  <c r="H118" i="1"/>
  <c r="H123" i="1"/>
  <c r="I123" i="1"/>
  <c r="H124" i="1"/>
  <c r="H125" i="1"/>
  <c r="I125" i="1"/>
  <c r="H126" i="1"/>
  <c r="H127" i="1"/>
  <c r="H128" i="1"/>
  <c r="H129" i="1"/>
  <c r="H131" i="1"/>
  <c r="H133" i="1"/>
  <c r="H159" i="1"/>
  <c r="H167" i="1"/>
  <c r="I167" i="1" s="1"/>
  <c r="I97" i="1" s="1"/>
  <c r="H170" i="1"/>
  <c r="I170" i="1" s="1"/>
  <c r="I100" i="1" s="1"/>
  <c r="H172" i="1"/>
  <c r="I172" i="1" s="1"/>
  <c r="I102" i="1" s="1"/>
  <c r="I46" i="1"/>
  <c r="I45" i="1"/>
  <c r="Q298" i="1"/>
  <c r="F377" i="1" l="1"/>
  <c r="F242" i="1"/>
  <c r="I54" i="1"/>
  <c r="I53" i="1"/>
  <c r="G54" i="1" s="1"/>
  <c r="H376" i="1" l="1"/>
  <c r="H375" i="1"/>
  <c r="H240" i="1"/>
  <c r="H241" i="1"/>
  <c r="D47" i="1"/>
  <c r="H423" i="1" s="1"/>
  <c r="G46" i="1"/>
  <c r="G45" i="1"/>
  <c r="H436" i="1"/>
  <c r="I436" i="1" s="1"/>
  <c r="I380" i="1" s="1"/>
  <c r="H429" i="1"/>
  <c r="I424" i="1"/>
  <c r="H412" i="1"/>
  <c r="H410" i="1"/>
  <c r="H408" i="1"/>
  <c r="H407" i="1"/>
  <c r="H406" i="1"/>
  <c r="H405" i="1"/>
  <c r="I404" i="1"/>
  <c r="H404" i="1"/>
  <c r="H403" i="1"/>
  <c r="H402" i="1"/>
  <c r="H397" i="1"/>
  <c r="H396" i="1"/>
  <c r="H394" i="1"/>
  <c r="H393" i="1"/>
  <c r="H391" i="1"/>
  <c r="H390" i="1"/>
  <c r="H387" i="1"/>
  <c r="H374" i="1"/>
  <c r="H309" i="1"/>
  <c r="I309" i="1" s="1"/>
  <c r="I245" i="1" s="1"/>
  <c r="H303" i="1"/>
  <c r="H284" i="1"/>
  <c r="H283" i="1"/>
  <c r="H278" i="1"/>
  <c r="H276" i="1"/>
  <c r="H274" i="1"/>
  <c r="H273" i="1"/>
  <c r="H272" i="1"/>
  <c r="H271" i="1"/>
  <c r="I270" i="1"/>
  <c r="H270" i="1"/>
  <c r="H269" i="1"/>
  <c r="H268" i="1"/>
  <c r="H260" i="1"/>
  <c r="H259" i="1"/>
  <c r="H257" i="1"/>
  <c r="H256" i="1"/>
  <c r="H252" i="1"/>
  <c r="N434" i="1"/>
  <c r="N433" i="1"/>
  <c r="K434" i="1"/>
  <c r="C434" i="1" s="1"/>
  <c r="K433" i="1"/>
  <c r="K377" i="1" s="1"/>
  <c r="D242" i="1"/>
  <c r="N307" i="1"/>
  <c r="N306" i="1"/>
  <c r="N242" i="1" s="1"/>
  <c r="K307" i="1"/>
  <c r="C307" i="1" s="1"/>
  <c r="K306" i="1"/>
  <c r="K242" i="1" s="1"/>
  <c r="N298" i="1"/>
  <c r="L54" i="1"/>
  <c r="L53" i="1"/>
  <c r="J54" i="1" s="1"/>
  <c r="H93" i="1" l="1"/>
  <c r="E93" i="1"/>
  <c r="H94" i="1"/>
  <c r="I470" i="1"/>
  <c r="I140" i="1"/>
  <c r="I70" i="1"/>
  <c r="D48" i="1"/>
  <c r="H294" i="1"/>
  <c r="K164" i="1"/>
  <c r="K94" i="1" s="1"/>
  <c r="K163" i="1"/>
  <c r="K93" i="1" s="1"/>
  <c r="I360" i="1"/>
  <c r="I288" i="1"/>
  <c r="I415" i="1"/>
  <c r="H298" i="1"/>
  <c r="I1" i="1"/>
  <c r="I223" i="1"/>
  <c r="I343" i="1"/>
  <c r="I281" i="1"/>
  <c r="I377" i="1"/>
  <c r="I242" i="1"/>
  <c r="C433" i="1"/>
  <c r="C377" i="1" s="1"/>
  <c r="C306" i="1"/>
  <c r="C242" i="1" s="1"/>
  <c r="M158" i="1"/>
  <c r="J158" i="1" s="1"/>
  <c r="M151" i="1"/>
  <c r="J151" i="1" s="1"/>
  <c r="M153" i="1"/>
  <c r="J153" i="1" s="1"/>
  <c r="D46" i="1"/>
  <c r="K423" i="1" s="1"/>
  <c r="C171" i="1"/>
  <c r="K101" i="1"/>
  <c r="C440" i="1"/>
  <c r="C439" i="1"/>
  <c r="Q436" i="1"/>
  <c r="R436" i="1" s="1"/>
  <c r="R380" i="1" s="1"/>
  <c r="N436" i="1"/>
  <c r="O436" i="1" s="1"/>
  <c r="O380" i="1" s="1"/>
  <c r="K436" i="1"/>
  <c r="L436" i="1" s="1"/>
  <c r="L380" i="1" s="1"/>
  <c r="C378" i="1"/>
  <c r="K378" i="1"/>
  <c r="Q432" i="1"/>
  <c r="Q376" i="1" s="1"/>
  <c r="N432" i="1"/>
  <c r="K432" i="1"/>
  <c r="Q431" i="1"/>
  <c r="Q375" i="1" s="1"/>
  <c r="N431" i="1"/>
  <c r="K431" i="1"/>
  <c r="Q429" i="1"/>
  <c r="N429" i="1"/>
  <c r="K429" i="1"/>
  <c r="C426" i="1"/>
  <c r="R424" i="1"/>
  <c r="O424" i="1"/>
  <c r="L424" i="1"/>
  <c r="C424" i="1"/>
  <c r="Q367" i="1"/>
  <c r="N367" i="1"/>
  <c r="C418" i="1"/>
  <c r="C362" i="1" s="1"/>
  <c r="Q412" i="1"/>
  <c r="N412" i="1"/>
  <c r="K412" i="1"/>
  <c r="Q410" i="1"/>
  <c r="N410" i="1"/>
  <c r="K410" i="1"/>
  <c r="Q408" i="1"/>
  <c r="N408" i="1"/>
  <c r="K408" i="1"/>
  <c r="Q407" i="1"/>
  <c r="N407" i="1"/>
  <c r="K407" i="1"/>
  <c r="Q406" i="1"/>
  <c r="N406" i="1"/>
  <c r="K406" i="1"/>
  <c r="Q405" i="1"/>
  <c r="N405" i="1"/>
  <c r="K405" i="1"/>
  <c r="R404" i="1"/>
  <c r="Q404" i="1"/>
  <c r="O404" i="1"/>
  <c r="N404" i="1"/>
  <c r="L404" i="1"/>
  <c r="K404" i="1"/>
  <c r="Q403" i="1"/>
  <c r="N403" i="1"/>
  <c r="K403" i="1"/>
  <c r="Q402" i="1"/>
  <c r="N402" i="1"/>
  <c r="K402" i="1"/>
  <c r="R397" i="1"/>
  <c r="Q397" i="1"/>
  <c r="N397" i="1"/>
  <c r="K397" i="1"/>
  <c r="R396" i="1"/>
  <c r="Q396" i="1"/>
  <c r="N396" i="1"/>
  <c r="K396" i="1"/>
  <c r="R394" i="1"/>
  <c r="Q394" i="1"/>
  <c r="N394" i="1"/>
  <c r="K394" i="1"/>
  <c r="R393" i="1"/>
  <c r="Q393" i="1"/>
  <c r="N393" i="1"/>
  <c r="K393" i="1"/>
  <c r="R391" i="1"/>
  <c r="Q391" i="1"/>
  <c r="N391" i="1"/>
  <c r="K391" i="1"/>
  <c r="R390" i="1"/>
  <c r="Q390" i="1"/>
  <c r="N390" i="1"/>
  <c r="K390" i="1"/>
  <c r="Q387" i="1"/>
  <c r="N387" i="1"/>
  <c r="K387" i="1"/>
  <c r="Q374" i="1"/>
  <c r="N374" i="1"/>
  <c r="K374" i="1"/>
  <c r="A374" i="1"/>
  <c r="C369" i="1"/>
  <c r="C425" i="1" s="1"/>
  <c r="E425" i="1" s="1"/>
  <c r="C368" i="1"/>
  <c r="D359" i="1"/>
  <c r="D353" i="1"/>
  <c r="I347" i="1"/>
  <c r="R343" i="1"/>
  <c r="C313" i="1"/>
  <c r="C312" i="1"/>
  <c r="Q309" i="1"/>
  <c r="R309" i="1" s="1"/>
  <c r="R245" i="1" s="1"/>
  <c r="N309" i="1"/>
  <c r="O309" i="1" s="1"/>
  <c r="O245" i="1" s="1"/>
  <c r="K309" i="1"/>
  <c r="L309" i="1" s="1"/>
  <c r="L245" i="1" s="1"/>
  <c r="C243" i="1"/>
  <c r="K243" i="1"/>
  <c r="Q305" i="1"/>
  <c r="Q241" i="1" s="1"/>
  <c r="N305" i="1"/>
  <c r="C305" i="1" s="1"/>
  <c r="C241" i="1" s="1"/>
  <c r="K305" i="1"/>
  <c r="K241" i="1" s="1"/>
  <c r="Q304" i="1"/>
  <c r="Q240" i="1" s="1"/>
  <c r="N304" i="1"/>
  <c r="C304" i="1" s="1"/>
  <c r="C240" i="1" s="1"/>
  <c r="K304" i="1"/>
  <c r="K240" i="1" s="1"/>
  <c r="Q303" i="1"/>
  <c r="N303" i="1"/>
  <c r="K303" i="1"/>
  <c r="C300" i="1"/>
  <c r="Q233" i="1"/>
  <c r="N233" i="1"/>
  <c r="C297" i="1"/>
  <c r="C296" i="1"/>
  <c r="Q294" i="1"/>
  <c r="Q229" i="1" s="1"/>
  <c r="N294" i="1"/>
  <c r="N229" i="1" s="1"/>
  <c r="C290" i="1"/>
  <c r="R288" i="1"/>
  <c r="D286" i="1"/>
  <c r="Q284" i="1"/>
  <c r="N284" i="1"/>
  <c r="K284" i="1"/>
  <c r="Q283" i="1"/>
  <c r="N283" i="1"/>
  <c r="K283" i="1"/>
  <c r="R281" i="1"/>
  <c r="Q278" i="1"/>
  <c r="N278" i="1"/>
  <c r="K278" i="1"/>
  <c r="Q276" i="1"/>
  <c r="N276" i="1"/>
  <c r="K276" i="1"/>
  <c r="Q274" i="1"/>
  <c r="N274" i="1"/>
  <c r="K274" i="1"/>
  <c r="Q273" i="1"/>
  <c r="N273" i="1"/>
  <c r="K273" i="1"/>
  <c r="Q272" i="1"/>
  <c r="N272" i="1"/>
  <c r="K272" i="1"/>
  <c r="Q271" i="1"/>
  <c r="N271" i="1"/>
  <c r="K271" i="1"/>
  <c r="R270" i="1"/>
  <c r="Q270" i="1"/>
  <c r="O270" i="1"/>
  <c r="N270" i="1"/>
  <c r="L270" i="1"/>
  <c r="K270" i="1"/>
  <c r="Q269" i="1"/>
  <c r="N269" i="1"/>
  <c r="K269" i="1"/>
  <c r="Q268" i="1"/>
  <c r="N268" i="1"/>
  <c r="K268" i="1"/>
  <c r="R263" i="1"/>
  <c r="R262" i="1"/>
  <c r="R260" i="1"/>
  <c r="Q260" i="1"/>
  <c r="N260" i="1"/>
  <c r="K260" i="1"/>
  <c r="R259" i="1"/>
  <c r="Q259" i="1"/>
  <c r="N259" i="1"/>
  <c r="K259" i="1"/>
  <c r="R257" i="1"/>
  <c r="Q257" i="1"/>
  <c r="N257" i="1"/>
  <c r="K257" i="1"/>
  <c r="R256" i="1"/>
  <c r="Q256" i="1"/>
  <c r="N256" i="1"/>
  <c r="K256" i="1"/>
  <c r="Q252" i="1"/>
  <c r="N252" i="1"/>
  <c r="K252" i="1"/>
  <c r="D243" i="1"/>
  <c r="C234" i="1"/>
  <c r="C299" i="1" s="1"/>
  <c r="E299" i="1" s="1"/>
  <c r="C229" i="1"/>
  <c r="C225" i="1"/>
  <c r="D221" i="1"/>
  <c r="D213" i="1"/>
  <c r="I207" i="1"/>
  <c r="Q172" i="1"/>
  <c r="R172" i="1" s="1"/>
  <c r="R102" i="1" s="1"/>
  <c r="N172" i="1"/>
  <c r="O172" i="1" s="1"/>
  <c r="O102" i="1" s="1"/>
  <c r="K172" i="1"/>
  <c r="L172" i="1" s="1"/>
  <c r="L102" i="1" s="1"/>
  <c r="Q170" i="1"/>
  <c r="R170" i="1" s="1"/>
  <c r="R100" i="1" s="1"/>
  <c r="N170" i="1"/>
  <c r="O170" i="1" s="1"/>
  <c r="O100" i="1" s="1"/>
  <c r="K170" i="1"/>
  <c r="L170" i="1" s="1"/>
  <c r="L100" i="1" s="1"/>
  <c r="Q167" i="1"/>
  <c r="R167" i="1" s="1"/>
  <c r="R97" i="1" s="1"/>
  <c r="N167" i="1"/>
  <c r="O167" i="1" s="1"/>
  <c r="O97" i="1" s="1"/>
  <c r="K167" i="1"/>
  <c r="L167" i="1" s="1"/>
  <c r="L97" i="1" s="1"/>
  <c r="C165" i="1"/>
  <c r="C162" i="1"/>
  <c r="C161" i="1"/>
  <c r="Q159" i="1"/>
  <c r="N159" i="1"/>
  <c r="K159" i="1"/>
  <c r="C158" i="1"/>
  <c r="C156" i="1"/>
  <c r="C155" i="1"/>
  <c r="C153" i="1"/>
  <c r="Q133" i="1"/>
  <c r="N133" i="1"/>
  <c r="K133" i="1"/>
  <c r="Q131" i="1"/>
  <c r="N131" i="1"/>
  <c r="K131" i="1"/>
  <c r="Q129" i="1"/>
  <c r="N129" i="1"/>
  <c r="K129" i="1"/>
  <c r="Q128" i="1"/>
  <c r="N128" i="1"/>
  <c r="K128" i="1"/>
  <c r="Q127" i="1"/>
  <c r="N127" i="1"/>
  <c r="K127" i="1"/>
  <c r="Q126" i="1"/>
  <c r="N126" i="1"/>
  <c r="K126" i="1"/>
  <c r="R125" i="1"/>
  <c r="Q125" i="1"/>
  <c r="O125" i="1"/>
  <c r="N125" i="1"/>
  <c r="L125" i="1"/>
  <c r="K125" i="1"/>
  <c r="Q124" i="1"/>
  <c r="N124" i="1"/>
  <c r="K124" i="1"/>
  <c r="R123" i="1"/>
  <c r="Q123" i="1"/>
  <c r="O123" i="1"/>
  <c r="N123" i="1"/>
  <c r="L123" i="1"/>
  <c r="K123" i="1"/>
  <c r="R121" i="1"/>
  <c r="R120" i="1"/>
  <c r="R118" i="1"/>
  <c r="Q118" i="1"/>
  <c r="N118" i="1"/>
  <c r="K118" i="1"/>
  <c r="R117" i="1"/>
  <c r="Q117" i="1"/>
  <c r="N117" i="1"/>
  <c r="K117" i="1"/>
  <c r="R115" i="1"/>
  <c r="Q115" i="1"/>
  <c r="N115" i="1"/>
  <c r="K115" i="1"/>
  <c r="R114" i="1"/>
  <c r="Q114" i="1"/>
  <c r="N114" i="1"/>
  <c r="K114" i="1"/>
  <c r="R112" i="1"/>
  <c r="Q112" i="1"/>
  <c r="N112" i="1"/>
  <c r="K112" i="1"/>
  <c r="R111" i="1"/>
  <c r="Q111" i="1"/>
  <c r="N111" i="1"/>
  <c r="K111" i="1"/>
  <c r="R110" i="1"/>
  <c r="Q110" i="1"/>
  <c r="O110" i="1"/>
  <c r="N110" i="1"/>
  <c r="L110" i="1"/>
  <c r="K110" i="1"/>
  <c r="R109" i="1"/>
  <c r="O109" i="1"/>
  <c r="L109" i="1"/>
  <c r="Q108" i="1"/>
  <c r="N108" i="1"/>
  <c r="K108" i="1"/>
  <c r="Q105" i="1"/>
  <c r="N105" i="1"/>
  <c r="K105" i="1"/>
  <c r="S88" i="1"/>
  <c r="P88" i="1"/>
  <c r="C88" i="1"/>
  <c r="S83" i="1"/>
  <c r="P83" i="1"/>
  <c r="S81" i="1"/>
  <c r="P81" i="1"/>
  <c r="R75" i="1"/>
  <c r="O75" i="1"/>
  <c r="L75" i="1"/>
  <c r="D64" i="1"/>
  <c r="H59" i="1"/>
  <c r="C59" i="1"/>
  <c r="I59" i="1" s="1"/>
  <c r="I58" i="1"/>
  <c r="H58" i="1"/>
  <c r="G58" i="1"/>
  <c r="F58" i="1"/>
  <c r="E58" i="1"/>
  <c r="D58" i="1"/>
  <c r="D67" i="1" s="1"/>
  <c r="C58" i="1"/>
  <c r="B58" i="1"/>
  <c r="D66" i="1" s="1"/>
  <c r="R54" i="1"/>
  <c r="O54" i="1"/>
  <c r="R53" i="1"/>
  <c r="O53" i="1"/>
  <c r="Q49" i="1"/>
  <c r="P49" i="1"/>
  <c r="O49" i="1"/>
  <c r="N49" i="1"/>
  <c r="M49" i="1"/>
  <c r="D41" i="1"/>
  <c r="C41" i="1"/>
  <c r="D40" i="1"/>
  <c r="C40" i="1"/>
  <c r="D34" i="1"/>
  <c r="K12" i="1"/>
  <c r="E372" i="2"/>
  <c r="E371" i="2"/>
  <c r="E370" i="2"/>
  <c r="E369" i="2"/>
  <c r="E368" i="2"/>
  <c r="E365" i="2"/>
  <c r="E364" i="2"/>
  <c r="E363" i="2"/>
  <c r="E361" i="2"/>
  <c r="E360" i="2"/>
  <c r="E359" i="2"/>
  <c r="E358" i="2"/>
  <c r="E357" i="2"/>
  <c r="E356" i="2"/>
  <c r="E355" i="2"/>
  <c r="E354" i="2"/>
  <c r="E353" i="2"/>
  <c r="E352" i="2"/>
  <c r="E351" i="2"/>
  <c r="E350" i="2"/>
  <c r="E349" i="2"/>
  <c r="E348" i="2"/>
  <c r="E345" i="2"/>
  <c r="E344" i="2"/>
  <c r="E343" i="2"/>
  <c r="E340" i="2"/>
  <c r="E339" i="2"/>
  <c r="E338" i="2"/>
  <c r="E337" i="2"/>
  <c r="E336" i="2"/>
  <c r="E335" i="2"/>
  <c r="E334" i="2"/>
  <c r="E333" i="2"/>
  <c r="E332" i="2"/>
  <c r="E331" i="2"/>
  <c r="E330" i="2"/>
  <c r="E329" i="2"/>
  <c r="E328" i="2"/>
  <c r="E327" i="2"/>
  <c r="E326" i="2"/>
  <c r="E325" i="2"/>
  <c r="E324" i="2"/>
  <c r="E323" i="2"/>
  <c r="E322" i="2"/>
  <c r="E321" i="2"/>
  <c r="E320" i="2"/>
  <c r="E319" i="2"/>
  <c r="E318" i="2"/>
  <c r="E317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H162" i="1" l="1"/>
  <c r="H92" i="1" s="1"/>
  <c r="E161" i="1"/>
  <c r="E91" i="1" s="1"/>
  <c r="H161" i="1"/>
  <c r="H91" i="1" s="1"/>
  <c r="E162" i="1"/>
  <c r="E92" i="1" s="1"/>
  <c r="E151" i="1"/>
  <c r="E81" i="1" s="1"/>
  <c r="E145" i="1"/>
  <c r="E75" i="1" s="1"/>
  <c r="E143" i="1"/>
  <c r="E73" i="1" s="1"/>
  <c r="E144" i="1"/>
  <c r="E74" i="1" s="1"/>
  <c r="E142" i="1"/>
  <c r="E146" i="1"/>
  <c r="E76" i="1" s="1"/>
  <c r="E290" i="1"/>
  <c r="E291" i="1" s="1"/>
  <c r="E418" i="1"/>
  <c r="E152" i="1"/>
  <c r="E82" i="1" s="1"/>
  <c r="E292" i="1"/>
  <c r="E420" i="1"/>
  <c r="E369" i="1"/>
  <c r="E233" i="1"/>
  <c r="F470" i="1"/>
  <c r="F415" i="1"/>
  <c r="F360" i="1"/>
  <c r="F223" i="1"/>
  <c r="F343" i="1"/>
  <c r="E234" i="1"/>
  <c r="E367" i="1"/>
  <c r="E229" i="1"/>
  <c r="F70" i="1"/>
  <c r="F140" i="1"/>
  <c r="F281" i="1"/>
  <c r="F288" i="1"/>
  <c r="E155" i="1"/>
  <c r="E85" i="1" s="1"/>
  <c r="E424" i="1"/>
  <c r="E368" i="1" s="1"/>
  <c r="E426" i="1"/>
  <c r="E297" i="1"/>
  <c r="E232" i="1" s="1"/>
  <c r="E300" i="1"/>
  <c r="H155" i="1"/>
  <c r="H85" i="1" s="1"/>
  <c r="H151" i="1"/>
  <c r="H81" i="1" s="1"/>
  <c r="H143" i="1"/>
  <c r="H73" i="1" s="1"/>
  <c r="H142" i="1"/>
  <c r="H146" i="1"/>
  <c r="H76" i="1" s="1"/>
  <c r="G151" i="1"/>
  <c r="J81" i="1"/>
  <c r="H145" i="1"/>
  <c r="H75" i="1" s="1"/>
  <c r="H144" i="1"/>
  <c r="H74" i="1" s="1"/>
  <c r="H152" i="1"/>
  <c r="H82" i="1" s="1"/>
  <c r="J88" i="1"/>
  <c r="G158" i="1"/>
  <c r="H156" i="1"/>
  <c r="H86" i="1" s="1"/>
  <c r="E156" i="1"/>
  <c r="E158" i="1"/>
  <c r="E88" i="1" s="1"/>
  <c r="H158" i="1"/>
  <c r="H88" i="1" s="1"/>
  <c r="F46" i="1"/>
  <c r="F1" i="1"/>
  <c r="G153" i="1"/>
  <c r="J83" i="1"/>
  <c r="K158" i="1"/>
  <c r="K88" i="1" s="1"/>
  <c r="H425" i="1"/>
  <c r="H369" i="1" s="1"/>
  <c r="H299" i="1"/>
  <c r="H234" i="1" s="1"/>
  <c r="H424" i="1"/>
  <c r="H368" i="1" s="1"/>
  <c r="K424" i="1"/>
  <c r="K368" i="1" s="1"/>
  <c r="H418" i="1"/>
  <c r="K297" i="1"/>
  <c r="K232" i="1" s="1"/>
  <c r="H297" i="1"/>
  <c r="H232" i="1" s="1"/>
  <c r="H290" i="1"/>
  <c r="H292" i="1"/>
  <c r="H420" i="1"/>
  <c r="K152" i="1"/>
  <c r="K82" i="1" s="1"/>
  <c r="H367" i="1"/>
  <c r="H426" i="1"/>
  <c r="H370" i="1" s="1"/>
  <c r="Q424" i="1"/>
  <c r="Q368" i="1" s="1"/>
  <c r="K418" i="1"/>
  <c r="N297" i="1"/>
  <c r="N232" i="1" s="1"/>
  <c r="K298" i="1"/>
  <c r="K233" i="1" s="1"/>
  <c r="H229" i="1"/>
  <c r="H233" i="1"/>
  <c r="H300" i="1"/>
  <c r="H235" i="1" s="1"/>
  <c r="K290" i="1"/>
  <c r="M81" i="1"/>
  <c r="K143" i="1"/>
  <c r="K73" i="1" s="1"/>
  <c r="K144" i="1"/>
  <c r="K74" i="1" s="1"/>
  <c r="N158" i="1"/>
  <c r="N88" i="1" s="1"/>
  <c r="K376" i="1"/>
  <c r="C432" i="1"/>
  <c r="C376" i="1" s="1"/>
  <c r="K146" i="1"/>
  <c r="K76" i="1" s="1"/>
  <c r="K375" i="1"/>
  <c r="C431" i="1"/>
  <c r="C375" i="1" s="1"/>
  <c r="M83" i="1"/>
  <c r="K145" i="1"/>
  <c r="K75" i="1" s="1"/>
  <c r="M88" i="1"/>
  <c r="L242" i="1"/>
  <c r="K292" i="1"/>
  <c r="K299" i="1"/>
  <c r="K234" i="1" s="1"/>
  <c r="K425" i="1"/>
  <c r="K369" i="1" s="1"/>
  <c r="K142" i="1"/>
  <c r="K162" i="1"/>
  <c r="K92" i="1" s="1"/>
  <c r="K161" i="1"/>
  <c r="K91" i="1" s="1"/>
  <c r="Q426" i="1"/>
  <c r="Q370" i="1" s="1"/>
  <c r="K367" i="1"/>
  <c r="K294" i="1"/>
  <c r="K229" i="1" s="1"/>
  <c r="K420" i="1"/>
  <c r="N243" i="1"/>
  <c r="K155" i="1"/>
  <c r="K85" i="1" s="1"/>
  <c r="K151" i="1"/>
  <c r="K81" i="1" s="1"/>
  <c r="N240" i="1"/>
  <c r="N378" i="1"/>
  <c r="Q297" i="1"/>
  <c r="Q232" i="1" s="1"/>
  <c r="N241" i="1"/>
  <c r="C232" i="1"/>
  <c r="N424" i="1"/>
  <c r="N368" i="1" s="1"/>
  <c r="P54" i="1"/>
  <c r="M54" i="1"/>
  <c r="S19" i="1"/>
  <c r="T19" i="1" s="1"/>
  <c r="U19" i="1" s="1"/>
  <c r="V19" i="1" s="1"/>
  <c r="W19" i="1" s="1"/>
  <c r="S26" i="1"/>
  <c r="T26" i="1" s="1"/>
  <c r="U26" i="1" s="1"/>
  <c r="V26" i="1" s="1"/>
  <c r="W26" i="1" s="1"/>
  <c r="R21" i="1"/>
  <c r="S28" i="1"/>
  <c r="T28" i="1" s="1"/>
  <c r="U28" i="1" s="1"/>
  <c r="V28" i="1" s="1"/>
  <c r="W28" i="1" s="1"/>
  <c r="R19" i="1"/>
  <c r="R23" i="1"/>
  <c r="R18" i="1"/>
  <c r="R20" i="1"/>
  <c r="S21" i="1"/>
  <c r="T21" i="1" s="1"/>
  <c r="U21" i="1" s="1"/>
  <c r="V21" i="1" s="1"/>
  <c r="W21" i="1" s="1"/>
  <c r="S23" i="1"/>
  <c r="T23" i="1" s="1"/>
  <c r="U23" i="1" s="1"/>
  <c r="V23" i="1" s="1"/>
  <c r="W23" i="1" s="1"/>
  <c r="I23" i="1" s="1"/>
  <c r="R25" i="1"/>
  <c r="R27" i="1"/>
  <c r="S18" i="1"/>
  <c r="T18" i="1" s="1"/>
  <c r="U18" i="1" s="1"/>
  <c r="V18" i="1" s="1"/>
  <c r="W18" i="1" s="1"/>
  <c r="S20" i="1"/>
  <c r="T20" i="1" s="1"/>
  <c r="U20" i="1" s="1"/>
  <c r="V20" i="1" s="1"/>
  <c r="W20" i="1" s="1"/>
  <c r="R22" i="1"/>
  <c r="R24" i="1"/>
  <c r="S25" i="1"/>
  <c r="T25" i="1" s="1"/>
  <c r="U25" i="1" s="1"/>
  <c r="V25" i="1" s="1"/>
  <c r="W25" i="1" s="1"/>
  <c r="S27" i="1"/>
  <c r="T27" i="1" s="1"/>
  <c r="U27" i="1" s="1"/>
  <c r="V27" i="1" s="1"/>
  <c r="W27" i="1" s="1"/>
  <c r="R29" i="1"/>
  <c r="S22" i="1"/>
  <c r="T22" i="1" s="1"/>
  <c r="U22" i="1" s="1"/>
  <c r="V22" i="1" s="1"/>
  <c r="W22" i="1" s="1"/>
  <c r="S24" i="1"/>
  <c r="T24" i="1" s="1"/>
  <c r="U24" i="1" s="1"/>
  <c r="V24" i="1" s="1"/>
  <c r="W24" i="1" s="1"/>
  <c r="R26" i="1"/>
  <c r="R28" i="1"/>
  <c r="S29" i="1"/>
  <c r="T29" i="1" s="1"/>
  <c r="U29" i="1" s="1"/>
  <c r="V29" i="1" s="1"/>
  <c r="W29" i="1" s="1"/>
  <c r="S54" i="1"/>
  <c r="C419" i="1"/>
  <c r="Q142" i="1"/>
  <c r="N142" i="1"/>
  <c r="N155" i="1"/>
  <c r="N85" i="1" s="1"/>
  <c r="N151" i="1"/>
  <c r="N81" i="1" s="1"/>
  <c r="Q162" i="1"/>
  <c r="Q92" i="1" s="1"/>
  <c r="Q161" i="1"/>
  <c r="Q91" i="1" s="1"/>
  <c r="N162" i="1"/>
  <c r="N92" i="1" s="1"/>
  <c r="N161" i="1"/>
  <c r="N91" i="1" s="1"/>
  <c r="Q155" i="1"/>
  <c r="Q85" i="1" s="1"/>
  <c r="Q151" i="1"/>
  <c r="Q81" i="1" s="1"/>
  <c r="Q146" i="1"/>
  <c r="Q76" i="1" s="1"/>
  <c r="N146" i="1"/>
  <c r="N76" i="1" s="1"/>
  <c r="N152" i="1"/>
  <c r="N82" i="1" s="1"/>
  <c r="Q152" i="1"/>
  <c r="Q82" i="1" s="1"/>
  <c r="Q299" i="1"/>
  <c r="Q234" i="1" s="1"/>
  <c r="N299" i="1"/>
  <c r="N234" i="1" s="1"/>
  <c r="Q145" i="1"/>
  <c r="Q75" i="1" s="1"/>
  <c r="N145" i="1"/>
  <c r="N75" i="1" s="1"/>
  <c r="N156" i="1"/>
  <c r="N86" i="1" s="1"/>
  <c r="K156" i="1"/>
  <c r="K86" i="1" s="1"/>
  <c r="C148" i="1"/>
  <c r="C78" i="1" s="1"/>
  <c r="Q156" i="1"/>
  <c r="Q86" i="1" s="1"/>
  <c r="N143" i="1"/>
  <c r="N73" i="1" s="1"/>
  <c r="Q143" i="1"/>
  <c r="Q73" i="1" s="1"/>
  <c r="Q144" i="1"/>
  <c r="Q74" i="1" s="1"/>
  <c r="N144" i="1"/>
  <c r="N74" i="1" s="1"/>
  <c r="K59" i="1"/>
  <c r="Q158" i="1"/>
  <c r="Q88" i="1" s="1"/>
  <c r="C291" i="1"/>
  <c r="N376" i="1"/>
  <c r="Q290" i="1"/>
  <c r="N290" i="1"/>
  <c r="N375" i="1"/>
  <c r="Q300" i="1"/>
  <c r="Q235" i="1" s="1"/>
  <c r="Q292" i="1"/>
  <c r="N300" i="1"/>
  <c r="N235" i="1" s="1"/>
  <c r="N292" i="1"/>
  <c r="K300" i="1"/>
  <c r="K235" i="1" s="1"/>
  <c r="C226" i="1"/>
  <c r="Q425" i="1"/>
  <c r="Q369" i="1" s="1"/>
  <c r="N425" i="1"/>
  <c r="N369" i="1" s="1"/>
  <c r="J207" i="1"/>
  <c r="Q418" i="1"/>
  <c r="N418" i="1"/>
  <c r="C363" i="1"/>
  <c r="K426" i="1"/>
  <c r="K370" i="1" s="1"/>
  <c r="J347" i="1"/>
  <c r="N420" i="1"/>
  <c r="N426" i="1"/>
  <c r="N370" i="1" s="1"/>
  <c r="Q420" i="1"/>
  <c r="E370" i="1" l="1"/>
  <c r="E427" i="1"/>
  <c r="E371" i="1" s="1"/>
  <c r="E362" i="1"/>
  <c r="E235" i="1"/>
  <c r="E301" i="1"/>
  <c r="E236" i="1" s="1"/>
  <c r="E148" i="1"/>
  <c r="E86" i="1"/>
  <c r="E157" i="1"/>
  <c r="E87" i="1" s="1"/>
  <c r="E296" i="1"/>
  <c r="E231" i="1" s="1"/>
  <c r="E225" i="1"/>
  <c r="E419" i="1"/>
  <c r="E422" i="1" s="1"/>
  <c r="E366" i="1" s="1"/>
  <c r="E421" i="1"/>
  <c r="E364" i="1"/>
  <c r="E226" i="1"/>
  <c r="G88" i="1"/>
  <c r="E293" i="1"/>
  <c r="E228" i="1" s="1"/>
  <c r="E227" i="1"/>
  <c r="G83" i="1"/>
  <c r="G81" i="1"/>
  <c r="E72" i="1"/>
  <c r="E153" i="1"/>
  <c r="E83" i="1" s="1"/>
  <c r="E78" i="1"/>
  <c r="H153" i="1"/>
  <c r="H83" i="1" s="1"/>
  <c r="H72" i="1"/>
  <c r="H148" i="1"/>
  <c r="H78" i="1" s="1"/>
  <c r="F47" i="1"/>
  <c r="H419" i="1"/>
  <c r="H422" i="1" s="1"/>
  <c r="H366" i="1" s="1"/>
  <c r="H362" i="1"/>
  <c r="H364" i="1"/>
  <c r="H421" i="1"/>
  <c r="H365" i="1" s="1"/>
  <c r="H293" i="1"/>
  <c r="H228" i="1" s="1"/>
  <c r="H227" i="1"/>
  <c r="H225" i="1"/>
  <c r="H296" i="1"/>
  <c r="H231" i="1" s="1"/>
  <c r="H291" i="1"/>
  <c r="H226" i="1" s="1"/>
  <c r="L377" i="1"/>
  <c r="I19" i="1"/>
  <c r="I28" i="1"/>
  <c r="I21" i="1"/>
  <c r="I24" i="1"/>
  <c r="I25" i="1"/>
  <c r="I18" i="1"/>
  <c r="I29" i="1"/>
  <c r="I27" i="1"/>
  <c r="I20" i="1"/>
  <c r="I26" i="1"/>
  <c r="I22" i="1"/>
  <c r="K362" i="1"/>
  <c r="K419" i="1"/>
  <c r="K227" i="1"/>
  <c r="K293" i="1"/>
  <c r="K228" i="1" s="1"/>
  <c r="Q293" i="1"/>
  <c r="Q228" i="1" s="1"/>
  <c r="Q227" i="1"/>
  <c r="K296" i="1"/>
  <c r="K231" i="1" s="1"/>
  <c r="K291" i="1"/>
  <c r="K226" i="1" s="1"/>
  <c r="K225" i="1"/>
  <c r="N296" i="1"/>
  <c r="N231" i="1" s="1"/>
  <c r="N291" i="1"/>
  <c r="N226" i="1" s="1"/>
  <c r="N225" i="1"/>
  <c r="K148" i="1"/>
  <c r="K78" i="1" s="1"/>
  <c r="K153" i="1"/>
  <c r="K83" i="1" s="1"/>
  <c r="K72" i="1"/>
  <c r="K364" i="1"/>
  <c r="K421" i="1"/>
  <c r="K365" i="1" s="1"/>
  <c r="Q291" i="1"/>
  <c r="Q226" i="1" s="1"/>
  <c r="Q225" i="1"/>
  <c r="Q296" i="1"/>
  <c r="Q231" i="1" s="1"/>
  <c r="N148" i="1"/>
  <c r="N78" i="1" s="1"/>
  <c r="N153" i="1"/>
  <c r="N83" i="1" s="1"/>
  <c r="N72" i="1"/>
  <c r="N362" i="1"/>
  <c r="N419" i="1"/>
  <c r="N422" i="1" s="1"/>
  <c r="N366" i="1" s="1"/>
  <c r="N364" i="1"/>
  <c r="N421" i="1"/>
  <c r="N365" i="1" s="1"/>
  <c r="C420" i="1"/>
  <c r="C364" i="1" s="1"/>
  <c r="Q419" i="1"/>
  <c r="Q422" i="1" s="1"/>
  <c r="Q366" i="1" s="1"/>
  <c r="Q362" i="1"/>
  <c r="N293" i="1"/>
  <c r="N228" i="1" s="1"/>
  <c r="N227" i="1"/>
  <c r="Q421" i="1"/>
  <c r="Q365" i="1" s="1"/>
  <c r="Q364" i="1"/>
  <c r="C292" i="1"/>
  <c r="C227" i="1" s="1"/>
  <c r="Q153" i="1"/>
  <c r="Q83" i="1" s="1"/>
  <c r="Q148" i="1"/>
  <c r="Q78" i="1" s="1"/>
  <c r="Q72" i="1"/>
  <c r="E428" i="1" l="1"/>
  <c r="E147" i="1"/>
  <c r="E363" i="1"/>
  <c r="E365" i="1"/>
  <c r="F439" i="1"/>
  <c r="F383" i="1" s="1"/>
  <c r="F437" i="1"/>
  <c r="F440" i="1"/>
  <c r="F384" i="1" s="1"/>
  <c r="F458" i="1"/>
  <c r="F438" i="1"/>
  <c r="F382" i="1" s="1"/>
  <c r="E295" i="1"/>
  <c r="H147" i="1"/>
  <c r="H428" i="1"/>
  <c r="I440" i="1"/>
  <c r="I384" i="1" s="1"/>
  <c r="H363" i="1"/>
  <c r="I439" i="1"/>
  <c r="I383" i="1" s="1"/>
  <c r="I438" i="1"/>
  <c r="I382" i="1" s="1"/>
  <c r="I437" i="1"/>
  <c r="I458" i="1"/>
  <c r="I462" i="1" s="1"/>
  <c r="I407" i="1" s="1"/>
  <c r="H295" i="1"/>
  <c r="H230" i="1" s="1"/>
  <c r="Q147" i="1"/>
  <c r="Q77" i="1" s="1"/>
  <c r="K147" i="1"/>
  <c r="K77" i="1" s="1"/>
  <c r="N147" i="1"/>
  <c r="Q295" i="1"/>
  <c r="R458" i="1"/>
  <c r="R463" i="1" s="1"/>
  <c r="R408" i="1" s="1"/>
  <c r="Q428" i="1"/>
  <c r="R439" i="1"/>
  <c r="R383" i="1" s="1"/>
  <c r="N363" i="1"/>
  <c r="O440" i="1"/>
  <c r="O384" i="1" s="1"/>
  <c r="O437" i="1"/>
  <c r="K363" i="1"/>
  <c r="R437" i="1"/>
  <c r="O438" i="1"/>
  <c r="O382" i="1" s="1"/>
  <c r="O458" i="1"/>
  <c r="K295" i="1"/>
  <c r="L312" i="1" s="1"/>
  <c r="L248" i="1" s="1"/>
  <c r="R440" i="1"/>
  <c r="R384" i="1" s="1"/>
  <c r="Q363" i="1"/>
  <c r="N428" i="1"/>
  <c r="O439" i="1"/>
  <c r="O383" i="1" s="1"/>
  <c r="N295" i="1"/>
  <c r="N302" i="1" s="1"/>
  <c r="K422" i="1"/>
  <c r="K366" i="1" s="1"/>
  <c r="R438" i="1"/>
  <c r="R382" i="1" s="1"/>
  <c r="F331" i="1" l="1"/>
  <c r="F335" i="1" s="1"/>
  <c r="F273" i="1" s="1"/>
  <c r="E302" i="1"/>
  <c r="E238" i="1" s="1"/>
  <c r="F310" i="1"/>
  <c r="F246" i="1" s="1"/>
  <c r="F460" i="1"/>
  <c r="F405" i="1" s="1"/>
  <c r="F403" i="1"/>
  <c r="F462" i="1"/>
  <c r="F407" i="1" s="1"/>
  <c r="F463" i="1"/>
  <c r="F408" i="1" s="1"/>
  <c r="E372" i="1"/>
  <c r="E435" i="1"/>
  <c r="F311" i="1"/>
  <c r="F247" i="1" s="1"/>
  <c r="F441" i="1"/>
  <c r="F385" i="1" s="1"/>
  <c r="F381" i="1"/>
  <c r="E230" i="1"/>
  <c r="F312" i="1"/>
  <c r="F248" i="1" s="1"/>
  <c r="F313" i="1"/>
  <c r="F249" i="1" s="1"/>
  <c r="F333" i="1"/>
  <c r="F271" i="1" s="1"/>
  <c r="F269" i="1"/>
  <c r="F337" i="1"/>
  <c r="F274" i="1" s="1"/>
  <c r="H77" i="1"/>
  <c r="H149" i="1"/>
  <c r="H79" i="1" s="1"/>
  <c r="H179" i="1"/>
  <c r="E149" i="1"/>
  <c r="E79" i="1" s="1"/>
  <c r="E77" i="1"/>
  <c r="E179" i="1"/>
  <c r="Q230" i="1"/>
  <c r="R310" i="1"/>
  <c r="I313" i="1"/>
  <c r="I249" i="1" s="1"/>
  <c r="I311" i="1"/>
  <c r="I247" i="1" s="1"/>
  <c r="I310" i="1"/>
  <c r="I246" i="1" s="1"/>
  <c r="I331" i="1"/>
  <c r="I335" i="1" s="1"/>
  <c r="I273" i="1" s="1"/>
  <c r="H302" i="1"/>
  <c r="H238" i="1" s="1"/>
  <c r="I460" i="1"/>
  <c r="I405" i="1" s="1"/>
  <c r="I403" i="1"/>
  <c r="I312" i="1"/>
  <c r="I248" i="1" s="1"/>
  <c r="I441" i="1"/>
  <c r="I385" i="1" s="1"/>
  <c r="I381" i="1"/>
  <c r="I463" i="1"/>
  <c r="I408" i="1" s="1"/>
  <c r="H372" i="1"/>
  <c r="H435" i="1"/>
  <c r="Q179" i="1"/>
  <c r="Q109" i="1" s="1"/>
  <c r="Q149" i="1"/>
  <c r="Q79" i="1" s="1"/>
  <c r="K179" i="1"/>
  <c r="M152" i="1" s="1"/>
  <c r="R311" i="1"/>
  <c r="R247" i="1" s="1"/>
  <c r="R313" i="1"/>
  <c r="R249" i="1" s="1"/>
  <c r="Q302" i="1"/>
  <c r="Q238" i="1" s="1"/>
  <c r="K149" i="1"/>
  <c r="K79" i="1" s="1"/>
  <c r="R312" i="1"/>
  <c r="R248" i="1" s="1"/>
  <c r="R331" i="1"/>
  <c r="R337" i="1" s="1"/>
  <c r="R274" i="1" s="1"/>
  <c r="L437" i="1"/>
  <c r="L381" i="1" s="1"/>
  <c r="N77" i="1"/>
  <c r="N149" i="1"/>
  <c r="N79" i="1" s="1"/>
  <c r="N179" i="1"/>
  <c r="L310" i="1"/>
  <c r="L246" i="1" s="1"/>
  <c r="L439" i="1"/>
  <c r="L383" i="1" s="1"/>
  <c r="L438" i="1"/>
  <c r="L382" i="1" s="1"/>
  <c r="K428" i="1"/>
  <c r="K372" i="1" s="1"/>
  <c r="N435" i="1"/>
  <c r="N372" i="1"/>
  <c r="O313" i="1"/>
  <c r="O249" i="1" s="1"/>
  <c r="O460" i="1"/>
  <c r="O405" i="1" s="1"/>
  <c r="O403" i="1"/>
  <c r="O462" i="1"/>
  <c r="O407" i="1" s="1"/>
  <c r="L440" i="1"/>
  <c r="L384" i="1" s="1"/>
  <c r="O441" i="1"/>
  <c r="O385" i="1" s="1"/>
  <c r="O381" i="1"/>
  <c r="Q435" i="1"/>
  <c r="Q372" i="1"/>
  <c r="N230" i="1"/>
  <c r="O310" i="1"/>
  <c r="O312" i="1"/>
  <c r="O248" i="1" s="1"/>
  <c r="K230" i="1"/>
  <c r="L311" i="1"/>
  <c r="L247" i="1" s="1"/>
  <c r="K302" i="1"/>
  <c r="L331" i="1"/>
  <c r="L313" i="1"/>
  <c r="L249" i="1" s="1"/>
  <c r="O463" i="1"/>
  <c r="O408" i="1" s="1"/>
  <c r="R460" i="1"/>
  <c r="R405" i="1" s="1"/>
  <c r="R403" i="1"/>
  <c r="O311" i="1"/>
  <c r="O247" i="1" s="1"/>
  <c r="L458" i="1"/>
  <c r="O331" i="1"/>
  <c r="R441" i="1"/>
  <c r="R385" i="1" s="1"/>
  <c r="R381" i="1"/>
  <c r="N308" i="1"/>
  <c r="R462" i="1"/>
  <c r="R407" i="1" s="1"/>
  <c r="E308" i="1" l="1"/>
  <c r="E244" i="1" s="1"/>
  <c r="E109" i="1"/>
  <c r="G152" i="1"/>
  <c r="G82" i="1" s="1"/>
  <c r="G159" i="1"/>
  <c r="G89" i="1" s="1"/>
  <c r="G154" i="1"/>
  <c r="F466" i="1"/>
  <c r="F443" i="1"/>
  <c r="E379" i="1"/>
  <c r="F314" i="1"/>
  <c r="F250" i="1" s="1"/>
  <c r="J152" i="1"/>
  <c r="J82" i="1" s="1"/>
  <c r="H109" i="1"/>
  <c r="J159" i="1"/>
  <c r="J89" i="1" s="1"/>
  <c r="J154" i="1"/>
  <c r="Q308" i="1"/>
  <c r="Q244" i="1" s="1"/>
  <c r="I269" i="1"/>
  <c r="I337" i="1"/>
  <c r="I274" i="1" s="1"/>
  <c r="H308" i="1"/>
  <c r="I333" i="1"/>
  <c r="I271" i="1" s="1"/>
  <c r="I314" i="1"/>
  <c r="I250" i="1" s="1"/>
  <c r="I466" i="1"/>
  <c r="H379" i="1"/>
  <c r="I443" i="1"/>
  <c r="K109" i="1"/>
  <c r="M154" i="1"/>
  <c r="M159" i="1"/>
  <c r="R314" i="1"/>
  <c r="R250" i="1" s="1"/>
  <c r="R246" i="1"/>
  <c r="R335" i="1"/>
  <c r="R273" i="1" s="1"/>
  <c r="R269" i="1"/>
  <c r="R333" i="1"/>
  <c r="R271" i="1" s="1"/>
  <c r="P159" i="1"/>
  <c r="P89" i="1" s="1"/>
  <c r="P152" i="1"/>
  <c r="P82" i="1" s="1"/>
  <c r="P154" i="1"/>
  <c r="P84" i="1" s="1"/>
  <c r="S154" i="1"/>
  <c r="S84" i="1" s="1"/>
  <c r="S152" i="1"/>
  <c r="S82" i="1" s="1"/>
  <c r="N109" i="1"/>
  <c r="S159" i="1"/>
  <c r="S89" i="1" s="1"/>
  <c r="K435" i="1"/>
  <c r="K379" i="1" s="1"/>
  <c r="O333" i="1"/>
  <c r="O271" i="1" s="1"/>
  <c r="O269" i="1"/>
  <c r="O337" i="1"/>
  <c r="O274" i="1" s="1"/>
  <c r="L314" i="1"/>
  <c r="L250" i="1" s="1"/>
  <c r="Q379" i="1"/>
  <c r="R443" i="1"/>
  <c r="R387" i="1" s="1"/>
  <c r="Q354" i="1" s="1"/>
  <c r="R466" i="1"/>
  <c r="L460" i="1"/>
  <c r="L405" i="1" s="1"/>
  <c r="L403" i="1"/>
  <c r="L462" i="1"/>
  <c r="L407" i="1" s="1"/>
  <c r="L463" i="1"/>
  <c r="L408" i="1" s="1"/>
  <c r="O466" i="1"/>
  <c r="N379" i="1"/>
  <c r="O443" i="1"/>
  <c r="L333" i="1"/>
  <c r="L271" i="1" s="1"/>
  <c r="L269" i="1"/>
  <c r="L335" i="1"/>
  <c r="L273" i="1" s="1"/>
  <c r="L337" i="1"/>
  <c r="L274" i="1" s="1"/>
  <c r="N238" i="1"/>
  <c r="K308" i="1"/>
  <c r="K238" i="1"/>
  <c r="O314" i="1"/>
  <c r="O250" i="1" s="1"/>
  <c r="O246" i="1"/>
  <c r="L441" i="1"/>
  <c r="L385" i="1" s="1"/>
  <c r="O335" i="1"/>
  <c r="O273" i="1" s="1"/>
  <c r="F340" i="1" l="1"/>
  <c r="F277" i="1" s="1"/>
  <c r="F316" i="1"/>
  <c r="F454" i="1"/>
  <c r="F448" i="1"/>
  <c r="F387" i="1"/>
  <c r="F451" i="1"/>
  <c r="F445" i="1"/>
  <c r="F468" i="1"/>
  <c r="F413" i="1" s="1"/>
  <c r="F411" i="1"/>
  <c r="G84" i="1"/>
  <c r="G149" i="1"/>
  <c r="J149" i="1"/>
  <c r="J84" i="1"/>
  <c r="I340" i="1"/>
  <c r="I277" i="1" s="1"/>
  <c r="I448" i="1"/>
  <c r="I454" i="1"/>
  <c r="O454" i="1"/>
  <c r="O451" i="1"/>
  <c r="H244" i="1"/>
  <c r="I316" i="1"/>
  <c r="I468" i="1"/>
  <c r="I413" i="1" s="1"/>
  <c r="I411" i="1"/>
  <c r="I387" i="1"/>
  <c r="R316" i="1"/>
  <c r="R340" i="1"/>
  <c r="P149" i="1"/>
  <c r="N154" i="1" s="1"/>
  <c r="N150" i="1" s="1"/>
  <c r="S149" i="1"/>
  <c r="S79" i="1" s="1"/>
  <c r="L466" i="1"/>
  <c r="L411" i="1" s="1"/>
  <c r="L316" i="1"/>
  <c r="L340" i="1"/>
  <c r="K244" i="1"/>
  <c r="O340" i="1"/>
  <c r="O316" i="1"/>
  <c r="N244" i="1"/>
  <c r="O448" i="1"/>
  <c r="O445" i="1"/>
  <c r="O387" i="1"/>
  <c r="N354" i="1" s="1"/>
  <c r="I349" i="1" s="1"/>
  <c r="L443" i="1"/>
  <c r="L451" i="1" s="1"/>
  <c r="L452" i="1" s="1"/>
  <c r="R468" i="1"/>
  <c r="R413" i="1" s="1"/>
  <c r="R411" i="1"/>
  <c r="O468" i="1"/>
  <c r="O413" i="1" s="1"/>
  <c r="O411" i="1"/>
  <c r="Q356" i="1"/>
  <c r="H349" i="1"/>
  <c r="F342" i="1" l="1"/>
  <c r="F279" i="1" s="1"/>
  <c r="F252" i="1"/>
  <c r="F243" i="1" s="1"/>
  <c r="F327" i="1"/>
  <c r="F328" i="1" s="1"/>
  <c r="F266" i="1" s="1"/>
  <c r="F324" i="1"/>
  <c r="F262" i="1" s="1"/>
  <c r="F452" i="1"/>
  <c r="F397" i="1" s="1"/>
  <c r="F396" i="1"/>
  <c r="E354" i="1"/>
  <c r="F378" i="1"/>
  <c r="F393" i="1"/>
  <c r="F449" i="1"/>
  <c r="F394" i="1" s="1"/>
  <c r="F446" i="1"/>
  <c r="F391" i="1" s="1"/>
  <c r="F390" i="1"/>
  <c r="F399" i="1"/>
  <c r="F455" i="1"/>
  <c r="F400" i="1" s="1"/>
  <c r="F321" i="1"/>
  <c r="F259" i="1" s="1"/>
  <c r="F318" i="1"/>
  <c r="F319" i="1" s="1"/>
  <c r="F257" i="1" s="1"/>
  <c r="J79" i="1"/>
  <c r="H154" i="1"/>
  <c r="G79" i="1"/>
  <c r="E154" i="1"/>
  <c r="R252" i="1"/>
  <c r="Q214" i="1" s="1"/>
  <c r="H209" i="1" s="1"/>
  <c r="L327" i="1"/>
  <c r="L324" i="1"/>
  <c r="L325" i="1" s="1"/>
  <c r="O324" i="1"/>
  <c r="R342" i="1"/>
  <c r="R279" i="1" s="1"/>
  <c r="L454" i="1"/>
  <c r="I445" i="1"/>
  <c r="I446" i="1" s="1"/>
  <c r="I391" i="1" s="1"/>
  <c r="O327" i="1"/>
  <c r="I327" i="1"/>
  <c r="I328" i="1" s="1"/>
  <c r="I318" i="1"/>
  <c r="I256" i="1" s="1"/>
  <c r="I324" i="1"/>
  <c r="I325" i="1" s="1"/>
  <c r="I263" i="1" s="1"/>
  <c r="I321" i="1"/>
  <c r="I451" i="1"/>
  <c r="I452" i="1" s="1"/>
  <c r="I397" i="1" s="1"/>
  <c r="I342" i="1"/>
  <c r="I279" i="1" s="1"/>
  <c r="I252" i="1"/>
  <c r="I243" i="1" s="1"/>
  <c r="I393" i="1"/>
  <c r="I449" i="1"/>
  <c r="I394" i="1" s="1"/>
  <c r="I399" i="1"/>
  <c r="I455" i="1"/>
  <c r="I400" i="1" s="1"/>
  <c r="H354" i="1"/>
  <c r="H356" i="1" s="1"/>
  <c r="I378" i="1"/>
  <c r="R277" i="1"/>
  <c r="P79" i="1"/>
  <c r="Q154" i="1"/>
  <c r="R168" i="1" s="1"/>
  <c r="R98" i="1" s="1"/>
  <c r="N84" i="1"/>
  <c r="I350" i="1"/>
  <c r="I351" i="1" s="1"/>
  <c r="O169" i="1"/>
  <c r="O99" i="1" s="1"/>
  <c r="O171" i="1"/>
  <c r="O101" i="1" s="1"/>
  <c r="O168" i="1"/>
  <c r="O98" i="1" s="1"/>
  <c r="N356" i="1"/>
  <c r="O455" i="1"/>
  <c r="O400" i="1" s="1"/>
  <c r="O399" i="1"/>
  <c r="O390" i="1"/>
  <c r="O446" i="1"/>
  <c r="O391" i="1" s="1"/>
  <c r="L387" i="1"/>
  <c r="L448" i="1"/>
  <c r="L445" i="1"/>
  <c r="N80" i="1"/>
  <c r="O194" i="1"/>
  <c r="N160" i="1"/>
  <c r="L468" i="1"/>
  <c r="L413" i="1" s="1"/>
  <c r="O393" i="1"/>
  <c r="O449" i="1"/>
  <c r="O394" i="1" s="1"/>
  <c r="O321" i="1"/>
  <c r="O318" i="1"/>
  <c r="O252" i="1"/>
  <c r="N214" i="1" s="1"/>
  <c r="I209" i="1" s="1"/>
  <c r="L277" i="1"/>
  <c r="L342" i="1"/>
  <c r="L279" i="1" s="1"/>
  <c r="O396" i="1"/>
  <c r="O452" i="1"/>
  <c r="O397" i="1" s="1"/>
  <c r="O342" i="1"/>
  <c r="O279" i="1" s="1"/>
  <c r="O277" i="1"/>
  <c r="L321" i="1"/>
  <c r="L318" i="1"/>
  <c r="L252" i="1"/>
  <c r="L349" i="1" l="1"/>
  <c r="L350" i="1" s="1"/>
  <c r="L351" i="1" s="1"/>
  <c r="E356" i="1"/>
  <c r="E214" i="1"/>
  <c r="E216" i="1" s="1"/>
  <c r="Q216" i="1"/>
  <c r="F325" i="1"/>
  <c r="F263" i="1" s="1"/>
  <c r="F256" i="1"/>
  <c r="F171" i="1"/>
  <c r="F101" i="1" s="1"/>
  <c r="F169" i="1"/>
  <c r="F99" i="1" s="1"/>
  <c r="F168" i="1"/>
  <c r="F265" i="1"/>
  <c r="F322" i="1"/>
  <c r="F260" i="1" s="1"/>
  <c r="F354" i="1"/>
  <c r="F356" i="1"/>
  <c r="I210" i="1"/>
  <c r="I211" i="1" s="1"/>
  <c r="F154" i="1"/>
  <c r="E84" i="1"/>
  <c r="E150" i="1"/>
  <c r="E160" i="1" s="1"/>
  <c r="H84" i="1"/>
  <c r="H150" i="1"/>
  <c r="I168" i="1"/>
  <c r="I171" i="1"/>
  <c r="I101" i="1" s="1"/>
  <c r="I169" i="1"/>
  <c r="I99" i="1" s="1"/>
  <c r="I390" i="1"/>
  <c r="I356" i="1"/>
  <c r="K349" i="1"/>
  <c r="K350" i="1" s="1"/>
  <c r="K351" i="1" s="1"/>
  <c r="I354" i="1"/>
  <c r="I396" i="1"/>
  <c r="I319" i="1"/>
  <c r="I257" i="1" s="1"/>
  <c r="H214" i="1"/>
  <c r="I262" i="1"/>
  <c r="I265" i="1"/>
  <c r="I266" i="1"/>
  <c r="I259" i="1"/>
  <c r="I322" i="1"/>
  <c r="I260" i="1" s="1"/>
  <c r="K354" i="1"/>
  <c r="L378" i="1"/>
  <c r="K214" i="1"/>
  <c r="L243" i="1"/>
  <c r="Q150" i="1"/>
  <c r="Q80" i="1" s="1"/>
  <c r="R169" i="1"/>
  <c r="R99" i="1" s="1"/>
  <c r="R171" i="1"/>
  <c r="R101" i="1" s="1"/>
  <c r="Q84" i="1"/>
  <c r="O173" i="1"/>
  <c r="O103" i="1" s="1"/>
  <c r="L328" i="1"/>
  <c r="L266" i="1" s="1"/>
  <c r="L265" i="1"/>
  <c r="L322" i="1"/>
  <c r="L260" i="1" s="1"/>
  <c r="L259" i="1"/>
  <c r="O322" i="1"/>
  <c r="O260" i="1" s="1"/>
  <c r="O259" i="1"/>
  <c r="L455" i="1"/>
  <c r="L400" i="1" s="1"/>
  <c r="L399" i="1"/>
  <c r="L263" i="1"/>
  <c r="L262" i="1"/>
  <c r="O262" i="1"/>
  <c r="O325" i="1"/>
  <c r="O263" i="1" s="1"/>
  <c r="L390" i="1"/>
  <c r="L446" i="1"/>
  <c r="L391" i="1" s="1"/>
  <c r="N216" i="1"/>
  <c r="O328" i="1"/>
  <c r="O266" i="1" s="1"/>
  <c r="O265" i="1"/>
  <c r="N90" i="1"/>
  <c r="L393" i="1"/>
  <c r="L449" i="1"/>
  <c r="L394" i="1" s="1"/>
  <c r="L256" i="1"/>
  <c r="L319" i="1"/>
  <c r="L257" i="1" s="1"/>
  <c r="O319" i="1"/>
  <c r="O257" i="1" s="1"/>
  <c r="O256" i="1"/>
  <c r="O124" i="1"/>
  <c r="O196" i="1"/>
  <c r="O126" i="1" s="1"/>
  <c r="O198" i="1"/>
  <c r="O128" i="1" s="1"/>
  <c r="O199" i="1"/>
  <c r="O129" i="1" s="1"/>
  <c r="L396" i="1"/>
  <c r="L397" i="1"/>
  <c r="K209" i="1" l="1"/>
  <c r="K210" i="1" s="1"/>
  <c r="K211" i="1" s="1"/>
  <c r="H216" i="1"/>
  <c r="F216" i="1"/>
  <c r="L209" i="1"/>
  <c r="L210" i="1" s="1"/>
  <c r="L211" i="1" s="1"/>
  <c r="F214" i="1"/>
  <c r="F98" i="1"/>
  <c r="F173" i="1"/>
  <c r="F103" i="1" s="1"/>
  <c r="E80" i="1"/>
  <c r="F194" i="1"/>
  <c r="I173" i="1"/>
  <c r="I103" i="1" s="1"/>
  <c r="I98" i="1"/>
  <c r="H80" i="1"/>
  <c r="I194" i="1"/>
  <c r="H160" i="1"/>
  <c r="J165" i="1" s="1"/>
  <c r="H165" i="1" s="1"/>
  <c r="J349" i="1"/>
  <c r="J350" i="1" s="1"/>
  <c r="J351" i="1" s="1"/>
  <c r="L354" i="1"/>
  <c r="K356" i="1"/>
  <c r="L356" i="1" s="1"/>
  <c r="Q160" i="1"/>
  <c r="Q166" i="1" s="1"/>
  <c r="Q96" i="1" s="1"/>
  <c r="I216" i="1"/>
  <c r="I214" i="1"/>
  <c r="J209" i="1"/>
  <c r="J210" i="1" s="1"/>
  <c r="J211" i="1" s="1"/>
  <c r="L214" i="1"/>
  <c r="K216" i="1"/>
  <c r="L216" i="1" s="1"/>
  <c r="R194" i="1"/>
  <c r="R196" i="1" s="1"/>
  <c r="R126" i="1" s="1"/>
  <c r="R173" i="1"/>
  <c r="R103" i="1" s="1"/>
  <c r="P162" i="1"/>
  <c r="P165" i="1"/>
  <c r="N165" i="1" s="1"/>
  <c r="N95" i="1" s="1"/>
  <c r="G165" i="1" l="1"/>
  <c r="E165" i="1" s="1"/>
  <c r="E95" i="1" s="1"/>
  <c r="F94" i="1" s="1"/>
  <c r="F196" i="1"/>
  <c r="F126" i="1" s="1"/>
  <c r="F124" i="1"/>
  <c r="F198" i="1"/>
  <c r="F128" i="1" s="1"/>
  <c r="F199" i="1"/>
  <c r="F129" i="1" s="1"/>
  <c r="H90" i="1"/>
  <c r="J162" i="1"/>
  <c r="H95" i="1"/>
  <c r="I94" i="1" s="1"/>
  <c r="I124" i="1"/>
  <c r="I196" i="1"/>
  <c r="I126" i="1" s="1"/>
  <c r="I198" i="1"/>
  <c r="I128" i="1" s="1"/>
  <c r="I199" i="1"/>
  <c r="I129" i="1" s="1"/>
  <c r="E90" i="1"/>
  <c r="G162" i="1"/>
  <c r="Q90" i="1"/>
  <c r="R199" i="1"/>
  <c r="R129" i="1" s="1"/>
  <c r="R198" i="1"/>
  <c r="R128" i="1" s="1"/>
  <c r="R124" i="1"/>
  <c r="R175" i="1"/>
  <c r="R176" i="1" s="1"/>
  <c r="N166" i="1"/>
  <c r="H166" i="1" l="1"/>
  <c r="H96" i="1" s="1"/>
  <c r="E166" i="1"/>
  <c r="R105" i="1"/>
  <c r="Q66" i="1" s="1"/>
  <c r="H61" i="1" s="1"/>
  <c r="R202" i="1"/>
  <c r="R132" i="1" s="1"/>
  <c r="O175" i="1"/>
  <c r="O202" i="1"/>
  <c r="N96" i="1"/>
  <c r="I202" i="1" l="1"/>
  <c r="I175" i="1"/>
  <c r="F202" i="1"/>
  <c r="F175" i="1"/>
  <c r="E96" i="1"/>
  <c r="O190" i="1"/>
  <c r="O184" i="1"/>
  <c r="R204" i="1"/>
  <c r="R134" i="1" s="1"/>
  <c r="Q68" i="1"/>
  <c r="O132" i="1"/>
  <c r="O204" i="1"/>
  <c r="O134" i="1" s="1"/>
  <c r="O181" i="1"/>
  <c r="O105" i="1"/>
  <c r="N66" i="1" s="1"/>
  <c r="O187" i="1"/>
  <c r="F190" i="1" l="1"/>
  <c r="F184" i="1"/>
  <c r="I187" i="1"/>
  <c r="I117" i="1" s="1"/>
  <c r="I190" i="1"/>
  <c r="I120" i="1" s="1"/>
  <c r="I204" i="1"/>
  <c r="I134" i="1" s="1"/>
  <c r="I132" i="1"/>
  <c r="I105" i="1"/>
  <c r="I95" i="1" s="1"/>
  <c r="F204" i="1"/>
  <c r="F134" i="1" s="1"/>
  <c r="F132" i="1"/>
  <c r="F187" i="1"/>
  <c r="F181" i="1"/>
  <c r="F105" i="1"/>
  <c r="F95" i="1" s="1"/>
  <c r="I61" i="1"/>
  <c r="I62" i="1" s="1"/>
  <c r="I63" i="1" s="1"/>
  <c r="N68" i="1"/>
  <c r="O114" i="1"/>
  <c r="O185" i="1"/>
  <c r="O115" i="1" s="1"/>
  <c r="O120" i="1"/>
  <c r="O191" i="1"/>
  <c r="O121" i="1" s="1"/>
  <c r="O117" i="1"/>
  <c r="O188" i="1"/>
  <c r="O118" i="1" s="1"/>
  <c r="O182" i="1"/>
  <c r="O112" i="1" s="1"/>
  <c r="O111" i="1"/>
  <c r="I188" i="1" l="1"/>
  <c r="I118" i="1" s="1"/>
  <c r="H66" i="1"/>
  <c r="I191" i="1"/>
  <c r="I121" i="1" s="1"/>
  <c r="F185" i="1"/>
  <c r="F115" i="1" s="1"/>
  <c r="F114" i="1"/>
  <c r="F120" i="1"/>
  <c r="F191" i="1"/>
  <c r="F121" i="1" s="1"/>
  <c r="F188" i="1"/>
  <c r="F118" i="1" s="1"/>
  <c r="F117" i="1"/>
  <c r="E66" i="1"/>
  <c r="L61" i="1" s="1"/>
  <c r="L62" i="1" s="1"/>
  <c r="L63" i="1" s="1"/>
  <c r="F182" i="1"/>
  <c r="F112" i="1" s="1"/>
  <c r="F111" i="1"/>
  <c r="M89" i="1"/>
  <c r="M149" i="1"/>
  <c r="M79" i="1" s="1"/>
  <c r="E68" i="1" l="1"/>
  <c r="F68" i="1" s="1"/>
  <c r="F66" i="1"/>
  <c r="H68" i="1"/>
  <c r="J68" i="1" s="1"/>
  <c r="J66" i="1"/>
  <c r="I66" i="1"/>
  <c r="K61" i="1"/>
  <c r="K62" i="1" s="1"/>
  <c r="K63" i="1" s="1"/>
  <c r="K154" i="1"/>
  <c r="I154" i="1" s="1"/>
  <c r="M84" i="1"/>
  <c r="I68" i="1" l="1"/>
  <c r="L168" i="1"/>
  <c r="L98" i="1" s="1"/>
  <c r="L171" i="1"/>
  <c r="L101" i="1" s="1"/>
  <c r="K84" i="1"/>
  <c r="L154" i="1"/>
  <c r="K150" i="1"/>
  <c r="L194" i="1" s="1"/>
  <c r="L169" i="1"/>
  <c r="L99" i="1" s="1"/>
  <c r="K160" i="1" l="1"/>
  <c r="K80" i="1"/>
  <c r="L173" i="1"/>
  <c r="L103" i="1" s="1"/>
  <c r="L198" i="1"/>
  <c r="L128" i="1" s="1"/>
  <c r="L196" i="1"/>
  <c r="L126" i="1" s="1"/>
  <c r="L199" i="1"/>
  <c r="L129" i="1" s="1"/>
  <c r="L124" i="1"/>
  <c r="K90" i="1" l="1"/>
  <c r="M162" i="1"/>
  <c r="M165" i="1"/>
  <c r="K165" i="1" s="1"/>
  <c r="K95" i="1" s="1"/>
  <c r="L94" i="1" s="1"/>
  <c r="M82" i="1"/>
  <c r="K166" i="1" l="1"/>
  <c r="L202" i="1" l="1"/>
  <c r="K96" i="1"/>
  <c r="L175" i="1"/>
  <c r="I184" i="1" s="1"/>
  <c r="I181" i="1" l="1"/>
  <c r="L184" i="1"/>
  <c r="L185" i="1" s="1"/>
  <c r="L190" i="1"/>
  <c r="L105" i="1"/>
  <c r="L187" i="1"/>
  <c r="L181" i="1"/>
  <c r="L204" i="1"/>
  <c r="L134" i="1" s="1"/>
  <c r="L132" i="1"/>
  <c r="I185" i="1" l="1"/>
  <c r="I115" i="1" s="1"/>
  <c r="I114" i="1"/>
  <c r="I182" i="1"/>
  <c r="I112" i="1" s="1"/>
  <c r="I111" i="1"/>
  <c r="K66" i="1"/>
  <c r="L66" i="1" s="1"/>
  <c r="L95" i="1"/>
  <c r="L120" i="1"/>
  <c r="L191" i="1"/>
  <c r="L121" i="1" s="1"/>
  <c r="L188" i="1"/>
  <c r="L118" i="1" s="1"/>
  <c r="L117" i="1"/>
  <c r="L114" i="1"/>
  <c r="L115" i="1"/>
  <c r="L111" i="1"/>
  <c r="L182" i="1"/>
  <c r="L112" i="1" s="1"/>
  <c r="K68" i="1" l="1"/>
  <c r="L68" i="1" s="1"/>
  <c r="J61" i="1"/>
  <c r="J62" i="1" s="1"/>
  <c r="J6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Victor</author>
  </authors>
  <commentList>
    <comment ref="D68" authorId="0" shapeId="0" xr:uid="{B02E9395-51F5-418F-80B8-3E1C63BDE6A5}">
      <text>
        <r>
          <rPr>
            <b/>
            <sz val="9"/>
            <rFont val="Tahoma"/>
            <family val="2"/>
          </rPr>
          <t>Victor:</t>
        </r>
        <r>
          <rPr>
            <sz val="9"/>
            <rFont val="Tahoma"/>
            <family val="2"/>
          </rPr>
          <t xml:space="preserve">
Poné 1 si tenés Jornada extendida y 0 si no tenés.</t>
        </r>
      </text>
    </comment>
    <comment ref="D217" authorId="0" shapeId="0" xr:uid="{643A3340-0FDD-4881-A130-3FCEFFD1C0EE}">
      <text>
        <r>
          <rPr>
            <b/>
            <sz val="9"/>
            <rFont val="Tahoma"/>
            <family val="2"/>
          </rPr>
          <t>Victor:</t>
        </r>
        <r>
          <rPr>
            <sz val="9"/>
            <rFont val="Tahoma"/>
            <family val="2"/>
          </rPr>
          <t xml:space="preserve">
Poner 1 si lo cobra en 18 horas, 0 si no lo cobra y se pueden utilizar decimales para una cantidad menor a 18, por ejemplo 0,5 para 9 horas o 0,3333 para 6 horas.</t>
        </r>
      </text>
    </comment>
  </commentList>
</comments>
</file>

<file path=xl/sharedStrings.xml><?xml version="1.0" encoding="utf-8"?>
<sst xmlns="http://schemas.openxmlformats.org/spreadsheetml/2006/main" count="1181" uniqueCount="585">
  <si>
    <t>CARGO</t>
  </si>
  <si>
    <t>NOMBRE</t>
  </si>
  <si>
    <t>PUNTOS</t>
  </si>
  <si>
    <t>puntos comp bas 2016</t>
  </si>
  <si>
    <t>TOT 1 Y 2</t>
  </si>
  <si>
    <t>Adic Dir 2016</t>
  </si>
  <si>
    <t>adic dir 2022</t>
  </si>
  <si>
    <t>DIFER.</t>
  </si>
  <si>
    <t>JORN</t>
  </si>
  <si>
    <t>Nina</t>
  </si>
  <si>
    <t>Ext Horaria</t>
  </si>
  <si>
    <t>Volver al simulador</t>
  </si>
  <si>
    <t>Tarea</t>
  </si>
  <si>
    <t>Prol</t>
  </si>
  <si>
    <t>Adic</t>
  </si>
  <si>
    <t>Director De Estudio De 3era. Cat. Transf.</t>
  </si>
  <si>
    <t>Vicerrector 2da. Categoría</t>
  </si>
  <si>
    <t>Rector De 3era. Categoría Jorn. Completa Transf.</t>
  </si>
  <si>
    <t>Rector De 1era. Categoría</t>
  </si>
  <si>
    <t>Rector De 1era. Categoría 3 Turnos</t>
  </si>
  <si>
    <t>Rector Inst. 2da. Categoría</t>
  </si>
  <si>
    <t>Rector Inst. 3era. Categoría</t>
  </si>
  <si>
    <t>Rector Inst. 3era. Cat. Agrotecnica</t>
  </si>
  <si>
    <t>Rector 1era. Categoría Jorn. Completa</t>
  </si>
  <si>
    <t xml:space="preserve">Vicerector 1era. Categoría </t>
  </si>
  <si>
    <t xml:space="preserve">Rector 1era. Categoría 2 Turnos </t>
  </si>
  <si>
    <t>Regente 1era. Categoría</t>
  </si>
  <si>
    <t>Prosecretaria Cat. Unica</t>
  </si>
  <si>
    <t xml:space="preserve">Vicerrector De 3era. Categoría </t>
  </si>
  <si>
    <t>Asesor Pedagogico (12 Horas)</t>
  </si>
  <si>
    <t>Maestro De Egb 3</t>
  </si>
  <si>
    <t>Asesor Pedagogico (24 Horas)</t>
  </si>
  <si>
    <t>Maestro Enseñanza Practicas (12 Hs)</t>
  </si>
  <si>
    <t>Asesor Pedagogica (18 Hs)</t>
  </si>
  <si>
    <t>Maestro Ens. Pract. Jefe Seccion</t>
  </si>
  <si>
    <t xml:space="preserve">Maestro Ens. Pract. </t>
  </si>
  <si>
    <t>Secretario 1era. Categoría</t>
  </si>
  <si>
    <t>Secretario Cat. Unica</t>
  </si>
  <si>
    <t>Secretario Inst. 2da. Categoría</t>
  </si>
  <si>
    <t>Secretario Inst. 3era. Categoría</t>
  </si>
  <si>
    <t>Preceptor</t>
  </si>
  <si>
    <t>Bibliotecario Secundario</t>
  </si>
  <si>
    <t>Ayudante De Trabajos Practicos Transf.</t>
  </si>
  <si>
    <t>Instructor Transferido</t>
  </si>
  <si>
    <t>Jefe Sectorial Ens. Pract. Jorn. Completa Transf.</t>
  </si>
  <si>
    <t>Instructor Resol. 3010</t>
  </si>
  <si>
    <t>Jefe Sectorial Ens. Pract. Con Jorn. Completa</t>
  </si>
  <si>
    <t>Coordinador General Act. Pract.</t>
  </si>
  <si>
    <t>Asesor Pedagogico (36 Hs)</t>
  </si>
  <si>
    <t>Jefe General De Ens. Pract. 1era. Categoría</t>
  </si>
  <si>
    <t>Bibliotecario Superior</t>
  </si>
  <si>
    <t>Ayudante De Clases Practicas Superior</t>
  </si>
  <si>
    <t>Jefe Bibliotecario Superior</t>
  </si>
  <si>
    <t>Rector Tc Superior Transferido</t>
  </si>
  <si>
    <t xml:space="preserve">Rector Tc Superior </t>
  </si>
  <si>
    <t xml:space="preserve">Regente </t>
  </si>
  <si>
    <t>Vicerrector Superior</t>
  </si>
  <si>
    <t>Vicerrector Jorn. Completa</t>
  </si>
  <si>
    <t>Secretario Superior</t>
  </si>
  <si>
    <t>347,6</t>
  </si>
  <si>
    <t>Prosecretario Superior</t>
  </si>
  <si>
    <t>Preceptor Nivel Superior</t>
  </si>
  <si>
    <t>Bedel Transf.</t>
  </si>
  <si>
    <t>Secretario Academico</t>
  </si>
  <si>
    <t>Instructor De Enfermeria Transf.</t>
  </si>
  <si>
    <t>Supervisor De Educación Física</t>
  </si>
  <si>
    <t>776</t>
  </si>
  <si>
    <t>Regente 1era. Cat. C.E.F.</t>
  </si>
  <si>
    <t>388</t>
  </si>
  <si>
    <t>Supervisor Educacion Secundaria</t>
  </si>
  <si>
    <t>Tecnico Docente Ens. Secundaria</t>
  </si>
  <si>
    <t>Secretario 1era. Cat. C.E.F.</t>
  </si>
  <si>
    <t>Tecnico Docente (Dccion. Educ. Tecn. Prof.)</t>
  </si>
  <si>
    <t>Rector 1era. Cat.</t>
  </si>
  <si>
    <t>647</t>
  </si>
  <si>
    <t>Rector 3era. Cat. Centro Formacion Profesional</t>
  </si>
  <si>
    <t>Rector 2da. Cat.</t>
  </si>
  <si>
    <t>582</t>
  </si>
  <si>
    <t xml:space="preserve">Regente 1era. Cat. Esc.Tecnica </t>
  </si>
  <si>
    <t>453</t>
  </si>
  <si>
    <t xml:space="preserve">Rector 3era. Cat. </t>
  </si>
  <si>
    <t>Vicerrector 1era. Cat.</t>
  </si>
  <si>
    <t>518</t>
  </si>
  <si>
    <t>Vicerrector 2da. Cat.</t>
  </si>
  <si>
    <t>Rector 2da. Cat. C.E.F.</t>
  </si>
  <si>
    <t>Vicerrector 2da. Cat. C.E.F.</t>
  </si>
  <si>
    <t>Secretario 2da. Cat. C.E.F.</t>
  </si>
  <si>
    <t>Jefe De Trabajos Practicos Laboratorio Agrario</t>
  </si>
  <si>
    <t xml:space="preserve">Regente 2da. Cat. Esc. Técnica </t>
  </si>
  <si>
    <t>Jefe Seccion Esc. Tecnicas</t>
  </si>
  <si>
    <t>Maestro Ens. Práct.</t>
  </si>
  <si>
    <t>Auxiliar Docente De Trabajos Practicos</t>
  </si>
  <si>
    <t>Secretario 1era. Cat.</t>
  </si>
  <si>
    <t>Secretario 2da. Cat.</t>
  </si>
  <si>
    <t>Secretario 3era. Cat.</t>
  </si>
  <si>
    <t>Maestro Tecnológico Y Especialidades</t>
  </si>
  <si>
    <t>Maestro Ayud.Ens.Práct. Tecnica</t>
  </si>
  <si>
    <t>Bibliotecario</t>
  </si>
  <si>
    <t>Maestro De Grado Tecnico</t>
  </si>
  <si>
    <t>Vicerrector 1era.Cat. C.E.F.</t>
  </si>
  <si>
    <t>Jefe De Laboratorio Tecnico</t>
  </si>
  <si>
    <t>Jefe De Enseñanza Práctica Tecnica</t>
  </si>
  <si>
    <t>Subjefe De Preceptores 1era. Cat.</t>
  </si>
  <si>
    <t>Rector Esc. Sec. Jov. Y Adultos</t>
  </si>
  <si>
    <t>Secretario Esc. Secundaria Jov. Y Adultos</t>
  </si>
  <si>
    <t>Supervisor Zonal Educ. Secundaria Jov. Y Adultos</t>
  </si>
  <si>
    <t>Vicerrector 3era. Cat. Esc. Tecnica</t>
  </si>
  <si>
    <t>Auxiliar Docente De Laboratorio</t>
  </si>
  <si>
    <t>Asesor Pedagógico P13 - Agrotecnico</t>
  </si>
  <si>
    <t xml:space="preserve">Ayudante De Clases Practicas </t>
  </si>
  <si>
    <t>Instructor Esc. Agrotecnica</t>
  </si>
  <si>
    <t>Rector De 1era. Cat. C.E.F.</t>
  </si>
  <si>
    <t>Maestro De Ciclo Basico</t>
  </si>
  <si>
    <t>Coordinador De Accion No Formal</t>
  </si>
  <si>
    <t>Auxiliar De Accion No Formal</t>
  </si>
  <si>
    <t>Instructor Agrotecnico</t>
  </si>
  <si>
    <t>Jefe Taller Esc.Técnica De 3era. Cat. C/Prol. De Jornada</t>
  </si>
  <si>
    <t>Jefe Taller Esc.Técnica De 1era. Cat.</t>
  </si>
  <si>
    <t>Jefe Taller Esc.Técnica De 2da Cat. C/Prol. De Jornada</t>
  </si>
  <si>
    <t>Maestro De Taller Técnico</t>
  </si>
  <si>
    <t>Prosecretario 2da. Y 3era. Cat.</t>
  </si>
  <si>
    <t>Jefe De Preceptores 1era.Cat.</t>
  </si>
  <si>
    <t>Rector De 1era. Cat. Esc. Tecnica Con Prol. De Jornada</t>
  </si>
  <si>
    <t>Rector De 2da. Cat. Esc. Tecnica Con Prol. De Jornada</t>
  </si>
  <si>
    <t>Rector De 3era. Cat. Esc. Tecnica Con Prol. De Jornada</t>
  </si>
  <si>
    <t>Vicerrector 1era. Cat. - Esc. Agrot. Con Prol. Jornada</t>
  </si>
  <si>
    <t>Vicerrector 2da. Cat. - Esc. Agrot. Con Prol. Jornada</t>
  </si>
  <si>
    <t>Jefe De Ens. Y Produccion 1era.Cat. C/Prol. De Jornada</t>
  </si>
  <si>
    <t>517</t>
  </si>
  <si>
    <t>Jefe De Ens. Y Produccion 2da. Cat. C/Prol. De Jornada</t>
  </si>
  <si>
    <t>Jefe De Ens. Y Produccion 3era. Cat. C/Prol. De Jornada</t>
  </si>
  <si>
    <t>Jefe Sección Esc. Agrop.Con Prol. De Jornada</t>
  </si>
  <si>
    <t>Jefe De Residencia Estudiantil 1era. Cat. C/Prol. De Jornada</t>
  </si>
  <si>
    <t>Preceptor De Residencia Estudiantil C/Prol. De Jornada</t>
  </si>
  <si>
    <t>Rector De 1era. Esc. Tecnica Con Prol. Jornada</t>
  </si>
  <si>
    <t>Rector De 2da. Esc. Tecnica Con Prol. Jornada</t>
  </si>
  <si>
    <t>Rector De 3era. Esc. Tecnica Con Prol. Jornada</t>
  </si>
  <si>
    <t>Jefe Sectorial De Jorn. Compl. Agraria</t>
  </si>
  <si>
    <t xml:space="preserve">Rector 3era. Cat. C.E.F. </t>
  </si>
  <si>
    <t>Vicerrector 3era. Cat. C.E.F.</t>
  </si>
  <si>
    <t>Secretario 3era. Cat. C.E.F.</t>
  </si>
  <si>
    <t>Regente De 3era. Cat. Esc. Tecnica</t>
  </si>
  <si>
    <t>Secretario De Unidad Educativa Nivel Inicial 1ra. Cat.</t>
  </si>
  <si>
    <t>Secretario De Unidad Educativa Nivel Inicial 1ra. Cat. Con Prol. De Jornada</t>
  </si>
  <si>
    <t>Secretario De Unidad Educativa Nivel Inicial 2da. Cat.</t>
  </si>
  <si>
    <t>Secretario De Unidad Educativa Nivel Inicial 2da. Cat. Con Prol. De Jornada</t>
  </si>
  <si>
    <t>Secretario De Unidad Educativa Nivel Inicial 3ra. Cat.</t>
  </si>
  <si>
    <t>Supervisor Escolar Artes Visuales</t>
  </si>
  <si>
    <t>Jefe Departamento Supervision Técnica</t>
  </si>
  <si>
    <t>Supervisor Escolar De Zona</t>
  </si>
  <si>
    <t>Supervisor De Educación Especial</t>
  </si>
  <si>
    <t>Supervisor Escolar De Educación Física</t>
  </si>
  <si>
    <t>Supervisor Escolar De Educación Tecnologica</t>
  </si>
  <si>
    <t>Supervisor Escolar De Educación Musical</t>
  </si>
  <si>
    <t>Técnico Docente Educacion Primaria</t>
  </si>
  <si>
    <t>Director Escuela 1era. Cat.</t>
  </si>
  <si>
    <t>Director Del S.A.I.E.</t>
  </si>
  <si>
    <t>Director De Educación Inicial 1era. Cat.</t>
  </si>
  <si>
    <t xml:space="preserve">Director Escuela 2da. Cat. </t>
  </si>
  <si>
    <t xml:space="preserve">Director Unidad Educativa 2da. Cat.Nivel Inicial </t>
  </si>
  <si>
    <t xml:space="preserve">Director De Escuela De Educación Integral </t>
  </si>
  <si>
    <t>Director Escuela 3era. Cat</t>
  </si>
  <si>
    <t>Vicedirector Escuela 1era. Cat.</t>
  </si>
  <si>
    <t>Maestro Auxiliar Jornada Completa</t>
  </si>
  <si>
    <t>Director Escuela 4ta. Cat.</t>
  </si>
  <si>
    <t>Técnico Auxiliar (Eoe-Saie-Esc. Y Centros Educ. Integral)</t>
  </si>
  <si>
    <t>Vicedirector Escuela 2da. Cat.</t>
  </si>
  <si>
    <t>Director Radio Educativo 1era. Cat. Nivel Inicial</t>
  </si>
  <si>
    <t>Director Escuela Primaria Jóvenes Y Adultos 1era. Cat.</t>
  </si>
  <si>
    <t>Director Escuela Coral</t>
  </si>
  <si>
    <t xml:space="preserve">Director Escuela Primaria Jóvenes Y Adultos 2da. Cat. </t>
  </si>
  <si>
    <t xml:space="preserve">Maestro De Sección </t>
  </si>
  <si>
    <t>Director Parque Escolar "E. Berduc"</t>
  </si>
  <si>
    <t>Maestro Educacion Inicial</t>
  </si>
  <si>
    <t xml:space="preserve">Maestro Orientador Integrador </t>
  </si>
  <si>
    <t>Secretario Escuela 2da. Cat.</t>
  </si>
  <si>
    <t xml:space="preserve">Maestro Educ. Artística En Esc. Y Centros De Educ. Integral </t>
  </si>
  <si>
    <t>Secretario Escuela 1era. Cat.</t>
  </si>
  <si>
    <t>Maestro Asistente Escuela Coral</t>
  </si>
  <si>
    <t>Maestro Auxiliar Nivel Primario</t>
  </si>
  <si>
    <t>Maestro Educación Física</t>
  </si>
  <si>
    <t xml:space="preserve">Secretario Escuela Primaria Jóvenes Y Adultos </t>
  </si>
  <si>
    <t>Maestro De Ciclo</t>
  </si>
  <si>
    <t>Secretario 1era. Cat. Nivel Inicial</t>
  </si>
  <si>
    <t>Técnico Docente De Educación Especial</t>
  </si>
  <si>
    <t>Tecnico Docente Biblioteca Escolares</t>
  </si>
  <si>
    <t xml:space="preserve">Maestro Escuela Primaria Jóvenes Y Adultos </t>
  </si>
  <si>
    <t>Maestro De Educ. Tecnologica</t>
  </si>
  <si>
    <t>Secretario Parque Escolar</t>
  </si>
  <si>
    <t>Maestro Educacion Agropecuaria</t>
  </si>
  <si>
    <t xml:space="preserve">Archivista - Uader </t>
  </si>
  <si>
    <t>Bibliotecario Pedagógico</t>
  </si>
  <si>
    <t>Coordinador De Educación Temprana</t>
  </si>
  <si>
    <t>Maestro Educación Musical</t>
  </si>
  <si>
    <t xml:space="preserve">Maestro De Artes Visuales </t>
  </si>
  <si>
    <t>Maestro Artes Visuales J. Compl.</t>
  </si>
  <si>
    <t>Vicedirector Escuela Educación Integral</t>
  </si>
  <si>
    <t>Maestro Educ. Física De Esc. Y Centros De Educ. Integral</t>
  </si>
  <si>
    <t>Técnico Docente Educ. Jóvenes Y Adultos</t>
  </si>
  <si>
    <t>Supervisor Zonal Educación Primaria Jóvenes Y Adultos</t>
  </si>
  <si>
    <t>Jefe Dpto. Tecnico Educacion De Jovenes Y Adultos</t>
  </si>
  <si>
    <t>Maestro De Orientación Vocacional Y Ocupacional De Esc. Y Centros De Educ. Integral Y/O Terapéutico</t>
  </si>
  <si>
    <t>Maestro De Formación Laboral Y Ocupacional De Esc. Y Centros De Educ. Integral Y/O Terapéutico</t>
  </si>
  <si>
    <t xml:space="preserve">Secretario Escuela De Educación Integral </t>
  </si>
  <si>
    <t>Maestro De Taller</t>
  </si>
  <si>
    <t>Tecnico Docente Direccion De Planeamiento</t>
  </si>
  <si>
    <t>Director Unidad Educativa 3era. Cat. Nivel Inicial</t>
  </si>
  <si>
    <t>Capacitador Laboral</t>
  </si>
  <si>
    <t xml:space="preserve">Jefe Dpto. Técnico Pedagógico </t>
  </si>
  <si>
    <t>Coordinador Dptal. De Educ. Jóvenes Y Adultos</t>
  </si>
  <si>
    <t>Maestro Esp. Dpto. Aplicación Lengua</t>
  </si>
  <si>
    <t>Vicedirector De Educación Inicial 1era. Cat.</t>
  </si>
  <si>
    <t>Maestro Especial Jardin De Infantes</t>
  </si>
  <si>
    <t>Maestro Auxiliar De Educ. Inicial</t>
  </si>
  <si>
    <t>Supervisor Nivel Inicial</t>
  </si>
  <si>
    <t>Supervisor Técnico</t>
  </si>
  <si>
    <t>Director Dpto. Aplicación</t>
  </si>
  <si>
    <t xml:space="preserve">Vicedirector Dpto. Aplicación </t>
  </si>
  <si>
    <t>Secretario Dpto. Aplicación</t>
  </si>
  <si>
    <t>Maestro Dpto. Aplicación</t>
  </si>
  <si>
    <t>Jefe De Industrias A. Tec - Uader</t>
  </si>
  <si>
    <t>Director Unidad Educativa 1era. Cat. Nivel Inicial Con P/J.</t>
  </si>
  <si>
    <t>Vice-Director Nivel Inicial 1era. Cat. Con P/J</t>
  </si>
  <si>
    <t>Maestro Nivel Inicial Con P/J.</t>
  </si>
  <si>
    <t>Maestro Escuela Primaria En Contexto De Privacion De La Libertad</t>
  </si>
  <si>
    <t>Visitador En Contexto De Privacion De La Libertad</t>
  </si>
  <si>
    <t>Maestro Educacion Artistica En Contexto De Privacion De La Libertad</t>
  </si>
  <si>
    <t>Director Escuela En Contexto De Privacion De La Libertad</t>
  </si>
  <si>
    <t>Director Escuela 1era. Cat. Jornada Completa</t>
  </si>
  <si>
    <t>Director Escuela 2da. Cat. Jornada Completa</t>
  </si>
  <si>
    <t>Director Escuela 3era. Cat. Jornada Completa</t>
  </si>
  <si>
    <t>Director Escuela 4ta. Cat. Jornada Completa</t>
  </si>
  <si>
    <t>Vicedirector Escuela 2da. Cat. Jornada Completa</t>
  </si>
  <si>
    <t>Maestro De Ciclo Jornada Completa</t>
  </si>
  <si>
    <t>Maestro Educ. Tecnologica Jornada Completa</t>
  </si>
  <si>
    <t>Vicedirector De Educación Inicial 2da. Cat.</t>
  </si>
  <si>
    <t xml:space="preserve">Maestro De Taller Anexo Albergue </t>
  </si>
  <si>
    <t>Maestro De Ciclo Anexo Albergue</t>
  </si>
  <si>
    <t>Maestro Educ. Tecnologica Anexo Albergue</t>
  </si>
  <si>
    <t>Director Escuela 3era. Cat. Anexo Albergue</t>
  </si>
  <si>
    <t>Director Escuela 4ta. Cat. Anexo Albergue</t>
  </si>
  <si>
    <t>Celador Docente Jornada Simple</t>
  </si>
  <si>
    <t>Vicedirector Escuela 1º Cat. Jornada Compl.</t>
  </si>
  <si>
    <t>Secretario Escuela 1era. Cat. Jornada Compl.</t>
  </si>
  <si>
    <t>Secretario Escuela 2da. Cat. Jornada Compl.</t>
  </si>
  <si>
    <t>Secretario Escuela 3era. Cat. Jornada Compl.</t>
  </si>
  <si>
    <t>Rector Esc. Sec. Jov. Y Adultos En Contexto De Priv. De La Libertad</t>
  </si>
  <si>
    <t>Técnico Docente Nivel Inicial</t>
  </si>
  <si>
    <t>Maestro 1er. Año Escuela Secundaria Jóvenes Y Adultos En Contexto De Privacion De La Libertad</t>
  </si>
  <si>
    <t>Maestro Educacion Artistica Jóvenes Y Adultos</t>
  </si>
  <si>
    <t>Educador Jóvenes Y Adultos (Capacitador Laboral)</t>
  </si>
  <si>
    <t>Maestro Educación Musical Jornada Completa</t>
  </si>
  <si>
    <t>Maestro Educacion Física Jornada Completa</t>
  </si>
  <si>
    <t>Bibliotecario Jornada Completa</t>
  </si>
  <si>
    <t>Maestro Educacion Musical Anexo Albergue</t>
  </si>
  <si>
    <t>Maestro Educacion Física Anexo Albergue</t>
  </si>
  <si>
    <t>Celador Esc. Anexo Albergue</t>
  </si>
  <si>
    <t>Maestro De Taller Jornada Compl.</t>
  </si>
  <si>
    <t>Maestro Educacion Agropecuaria J.C.</t>
  </si>
  <si>
    <t>Secretario 3era. Cat. Escuela Secundaria Jovenes Y Adultos En Contexto De Privacion De La Libertad</t>
  </si>
  <si>
    <t>Director Escuela Personal Único</t>
  </si>
  <si>
    <t>Secretario Escuela 3era. Cat.</t>
  </si>
  <si>
    <t xml:space="preserve">Coordinador De Centro Comunitario </t>
  </si>
  <si>
    <t xml:space="preserve">Maestro 1er. Año Escuela Secundaria Jóvenes Y Adultos </t>
  </si>
  <si>
    <t>Maestro Educación Agropecuaria Anexo Albergue</t>
  </si>
  <si>
    <t>Maestro De Ctro. Educ. Educacion Primaria De Jov. Y Adultos</t>
  </si>
  <si>
    <t>Jefe Dpto. Pedag. Y Superv. (Ens.Privada)</t>
  </si>
  <si>
    <t>Supervisor Ens. Especial (Enseñanza Privada)</t>
  </si>
  <si>
    <t>Supervisor Ens.Primaria (Enseñanza Privada)</t>
  </si>
  <si>
    <t>Supervisor Ens. Inicial (Enseñanza Privada)</t>
  </si>
  <si>
    <t>Tutor/A Educativo Dep. De Jovenes Y Adultos</t>
  </si>
  <si>
    <t>Tecnico Docente Enseñanza Privada</t>
  </si>
  <si>
    <t>Supervisor Enseñanza Secundaria (Ens. Privada)</t>
  </si>
  <si>
    <t>Prof.Titular Dedic. Exclusiva - Uader</t>
  </si>
  <si>
    <t>Prof. Asoc. Dedic. Exclusiva - Uader</t>
  </si>
  <si>
    <t>Prof. Adj. Dedic. Exclusiva - Uader</t>
  </si>
  <si>
    <t>Jefe Trabajos Pract. Dedic. Exclusiva - Uader</t>
  </si>
  <si>
    <t>Auxiliar Docente 1era. Cat. Dedic. Exclusiva - Uader</t>
  </si>
  <si>
    <t>Auxiliar Docente 1era. Cat. Dedic. Parcial - Uader</t>
  </si>
  <si>
    <t>Jefe Trabajos Pract. Dedic. Parcial - Uader</t>
  </si>
  <si>
    <t>Prof.Titular Dedic. Parcial - Uader</t>
  </si>
  <si>
    <t>Prof. Asoc. Dedic. Parcial - Uader</t>
  </si>
  <si>
    <t>Prof. Adj. Dedic. Parcial - Uader</t>
  </si>
  <si>
    <t>Prof. Titular Dedic. Simple - Uader</t>
  </si>
  <si>
    <t>Prof. Asoc. Dedic. Simple - Uader</t>
  </si>
  <si>
    <t>Prof. Adj. Dedic Simple - Uader</t>
  </si>
  <si>
    <t>Jefe Trabajos Pract.Dedic. Simple - Uader</t>
  </si>
  <si>
    <t>Auxiliar Docente 1era. Cat. Dedic. Simple - Uader</t>
  </si>
  <si>
    <t>Analista Técnico</t>
  </si>
  <si>
    <t xml:space="preserve">Supervisor Instituto Superior </t>
  </si>
  <si>
    <t>Técnico Docente Educación Superior</t>
  </si>
  <si>
    <t>Rector Instituto Superior</t>
  </si>
  <si>
    <t xml:space="preserve">Vicerrector Instituto Superior </t>
  </si>
  <si>
    <t>Secretario Académico</t>
  </si>
  <si>
    <t>Regente Instituto Superior</t>
  </si>
  <si>
    <t>Secretario Instituto Superior</t>
  </si>
  <si>
    <t>Prosecretario Instituto Superior</t>
  </si>
  <si>
    <t>Bedel</t>
  </si>
  <si>
    <t>Ayudante Trabajos Prácticos</t>
  </si>
  <si>
    <t>Preceptor Instituto Superior</t>
  </si>
  <si>
    <t>Instructor Instituto Superior</t>
  </si>
  <si>
    <t>Bibliotecario Instituto Superior</t>
  </si>
  <si>
    <t>Maestro De Educ. Fisica Especial</t>
  </si>
  <si>
    <t>Maestro De Educ. Artistica Especial</t>
  </si>
  <si>
    <t>Maestro De Educ. Musical Especial</t>
  </si>
  <si>
    <t>Director De Escuela 1era. Cat.</t>
  </si>
  <si>
    <t>Director De Escuela 2da. Cat.</t>
  </si>
  <si>
    <t>Director De Escuela 3era. Cat.</t>
  </si>
  <si>
    <t>Director De Escuela 4ta. Cat.</t>
  </si>
  <si>
    <t>Director Escuela Educación Especial</t>
  </si>
  <si>
    <t>Director De Escuela Adultos 2da. Cat.</t>
  </si>
  <si>
    <t>Director De Escuela Nivel Inicial 2da. Cat.</t>
  </si>
  <si>
    <t>Vicedirector Esc. 1era. Cat.</t>
  </si>
  <si>
    <t>Vicedirector Esc. 2da. Cat.</t>
  </si>
  <si>
    <t>Vicedirector Esc. Especial</t>
  </si>
  <si>
    <t>Secretaria De Escuela De 2da. Cat.</t>
  </si>
  <si>
    <t>Maestro De Grado Diferenciado</t>
  </si>
  <si>
    <t>Maestro De Nivel Inicial</t>
  </si>
  <si>
    <t>Maestro De Grupo Esc. Especial</t>
  </si>
  <si>
    <t>Maestro De Grado Adultos</t>
  </si>
  <si>
    <t>Maestro De Educación Física</t>
  </si>
  <si>
    <t>Maestro De Materias Especiales</t>
  </si>
  <si>
    <t>Maestro De Materias Especiales Esc. Especial</t>
  </si>
  <si>
    <t>Psicólogo</t>
  </si>
  <si>
    <t>Musico Terapeuta</t>
  </si>
  <si>
    <t>Asistente Social</t>
  </si>
  <si>
    <t>Preceptor Escuela Especial</t>
  </si>
  <si>
    <t>Director Esc. Capacit. Técnica 4ta. Cat.</t>
  </si>
  <si>
    <t>Maestro Cultura General Cap. Tecnica</t>
  </si>
  <si>
    <t>Rector Nivel Superior - Uader</t>
  </si>
  <si>
    <t>Secretario Nivel Superior - Uader</t>
  </si>
  <si>
    <t>Bibliotecario Nivel Superior - Uader</t>
  </si>
  <si>
    <t>Preceptor Nivel Superior - Uader</t>
  </si>
  <si>
    <t>Bedel - Uader</t>
  </si>
  <si>
    <t>Ayudante Trabajos Prácticos - Uader</t>
  </si>
  <si>
    <t>Maestro De Orientacion Vocacional Y Ocupacional Esc. Especiales</t>
  </si>
  <si>
    <t>Maestro De Formación Laboral Y Ocupacional Esc. Especiales</t>
  </si>
  <si>
    <t>Director Esc. Capacit. Técn. 3era. Cat.</t>
  </si>
  <si>
    <t>Director Esc. Capacit. Técn. 1era. Cat.</t>
  </si>
  <si>
    <t>Director Esc. Capacit. Técn. 2da. Cat.</t>
  </si>
  <si>
    <t>Fonoaudiólogo</t>
  </si>
  <si>
    <t>Secretario Esc. De 1era. Cat.</t>
  </si>
  <si>
    <t xml:space="preserve">Director Esc. De Jorn. Completa De 2da. Cat. </t>
  </si>
  <si>
    <t>Maestro De Ciclo Esc. De Jornada Completa</t>
  </si>
  <si>
    <t>Maestro Educación Física Esc. De Jorn. Completa</t>
  </si>
  <si>
    <t>Secretario Esc. 2da. Cat. Jorn. Completa</t>
  </si>
  <si>
    <t xml:space="preserve">Terapista Ocupacional </t>
  </si>
  <si>
    <t>Psicomotricista</t>
  </si>
  <si>
    <t>Psicopedagogo</t>
  </si>
  <si>
    <t>Maestro Act. Practicas Jorn. Completas</t>
  </si>
  <si>
    <t>Maestro De Educ. Musical Jorn. Completa</t>
  </si>
  <si>
    <t>Vicedirector Esc. De Jorn. Completa</t>
  </si>
  <si>
    <t>Moi</t>
  </si>
  <si>
    <t>Director Esc. Jorn. Completa De 3era. Cat.</t>
  </si>
  <si>
    <t>Vicedirector De Esc.Cap. Técn. 1era. Cat.</t>
  </si>
  <si>
    <t>Director Esc. Nivel Inicial 1era. Cat.</t>
  </si>
  <si>
    <t>Vicedirector Esc. Nivel Inicial 2da. Cat.</t>
  </si>
  <si>
    <t>Secretario Doc. Esc. Enf. Uader</t>
  </si>
  <si>
    <t>Secretario Adm. Esc. Enf. Uader</t>
  </si>
  <si>
    <t>Instructor Nivel Superior - Uader</t>
  </si>
  <si>
    <t>Vicedirector Esc. Nivel Inicial 3era. Cat.</t>
  </si>
  <si>
    <t>Vicedirector Esc. Nivel Inicial 1era.Cat</t>
  </si>
  <si>
    <t>Secretario Academico - Uader</t>
  </si>
  <si>
    <t>Jefe Laboratorio Computación - Uader</t>
  </si>
  <si>
    <t>Coordinador De Centro Privado Integral</t>
  </si>
  <si>
    <t>Preceptor Guia Internado Instituto Sup. - Uader</t>
  </si>
  <si>
    <t>Secretario Escuela Especial</t>
  </si>
  <si>
    <t>Director Esc. De Nivel Inicial 3era. Cat.</t>
  </si>
  <si>
    <t>Director Esc. De Nivel Inicial 4ta. Cat.</t>
  </si>
  <si>
    <t>Kinesiólogo</t>
  </si>
  <si>
    <t>Maestro De Educacion Practica</t>
  </si>
  <si>
    <t>Secretario Esc. Nivel Inicial 1era. Cat.</t>
  </si>
  <si>
    <t>Secretario Esc. Nivel Inicial 2da. Cat.</t>
  </si>
  <si>
    <t>Secretario Esc. Nivel Inicial 3era. Cat.</t>
  </si>
  <si>
    <t>Maestro Auxiliar De Nivel Inicial</t>
  </si>
  <si>
    <t>Maestro Dpto. Aplicación Lengua - Uader</t>
  </si>
  <si>
    <t>Maestro Espec. Dpto. Aplicación Lenguas Vivas - Uader</t>
  </si>
  <si>
    <t>Analista Técnico - Uader</t>
  </si>
  <si>
    <t>Maestro Especial Jardín De Infantes - Uader</t>
  </si>
  <si>
    <t>Maestro Jardín De Infantes - Uader</t>
  </si>
  <si>
    <t>Vicerrector Nivel Superior - Uader</t>
  </si>
  <si>
    <t>Regente Nivel Superior - Uader</t>
  </si>
  <si>
    <t>Vicedirector Esc. De 3era. Cat.</t>
  </si>
  <si>
    <t>Secretario Esc. Jorn. Completa 1era. Cat.</t>
  </si>
  <si>
    <t>Sec. Esc. De Jorn. Completa 3era. Cat.</t>
  </si>
  <si>
    <t>Prosecretario Nivel Superior - Uader</t>
  </si>
  <si>
    <t>Secretario Esc. De 3era. Cat.</t>
  </si>
  <si>
    <r>
      <t xml:space="preserve">Simulador Salario docente Entre Ríos </t>
    </r>
    <r>
      <rPr>
        <b/>
        <u/>
        <sz val="16"/>
        <color theme="4" tint="-0.499984740745262"/>
        <rFont val="Arial"/>
        <family val="2"/>
      </rPr>
      <t>(2026)</t>
    </r>
  </si>
  <si>
    <t>Por acum Anual</t>
  </si>
  <si>
    <t>Listado de Cargos</t>
  </si>
  <si>
    <t xml:space="preserve">Canasta de Indigencia: </t>
  </si>
  <si>
    <t>Por favor avisar si encuentran errores</t>
  </si>
  <si>
    <t>Canasta de la pobreza:</t>
  </si>
  <si>
    <t>Los porcentajes de aumento indicados en cada mes son acumulados anuales</t>
  </si>
  <si>
    <t>Solo completar los datos en rojo</t>
  </si>
  <si>
    <t>de la canasta básica total"</t>
  </si>
  <si>
    <t>Inicial sin montos en negro:</t>
  </si>
  <si>
    <t>IPC Acum Anual</t>
  </si>
  <si>
    <t>Escala de antigüedades</t>
  </si>
  <si>
    <t>Años</t>
  </si>
  <si>
    <t>Porcentaje</t>
  </si>
  <si>
    <t>Final</t>
  </si>
  <si>
    <t>hasta 971</t>
  </si>
  <si>
    <t>972&lt;pi&lt;= 1169</t>
  </si>
  <si>
    <t>1170&lt;pi&lt;1400</t>
  </si>
  <si>
    <t>1401&lt;pi&lt;1942</t>
  </si>
  <si>
    <t>1943&lt;pi&lt;=2220</t>
  </si>
  <si>
    <t>pi&gt;2220</t>
  </si>
  <si>
    <t>pijc&gt;=620 971</t>
  </si>
  <si>
    <t>JC &gt; 971</t>
  </si>
  <si>
    <t>JC defint</t>
  </si>
  <si>
    <t>Porc aumento índice</t>
  </si>
  <si>
    <t>18,00%</t>
  </si>
  <si>
    <t>Nuevo Índice</t>
  </si>
  <si>
    <t>#¿NOMBRE?</t>
  </si>
  <si>
    <t>Auminddic</t>
  </si>
  <si>
    <t>Para conocer el código del cargo hacer clic en la hoja cargos</t>
  </si>
  <si>
    <t>Porc aumento prol Jornada</t>
  </si>
  <si>
    <t>20,00%</t>
  </si>
  <si>
    <t>Nuevo Prol Jorn</t>
  </si>
  <si>
    <t>aumjorcompdic</t>
  </si>
  <si>
    <t>% de aum código 06</t>
  </si>
  <si>
    <t>16,00%</t>
  </si>
  <si>
    <t>Multiplicador</t>
  </si>
  <si>
    <t>116,0%</t>
  </si>
  <si>
    <t>aum cod 06 dic</t>
  </si>
  <si>
    <t>#########</t>
  </si>
  <si>
    <t>Modificadores diálogo 2013</t>
  </si>
  <si>
    <t>Nuevo sueldo testigo (maestro, 0% antig)</t>
  </si>
  <si>
    <t>Aumento cargo testigo</t>
  </si>
  <si>
    <t>CARGOS</t>
  </si>
  <si>
    <t>indicedic25</t>
  </si>
  <si>
    <t>Indiceproljordic25</t>
  </si>
  <si>
    <t>Aclaración importante:</t>
  </si>
  <si>
    <t>Puede haber errores</t>
  </si>
  <si>
    <t>Punto Índice</t>
  </si>
  <si>
    <t>% de aumento</t>
  </si>
  <si>
    <t>P. Índice Jor Comp.</t>
  </si>
  <si>
    <t>Efecto de la base de cálculo no actualizada</t>
  </si>
  <si>
    <t>completar el cargo a la izquierda y buscar el resultado a la derecha</t>
  </si>
  <si>
    <t>PUNTOS basicos</t>
  </si>
  <si>
    <t>tarea DIFER.</t>
  </si>
  <si>
    <t>Prol JORN</t>
  </si>
  <si>
    <t>Combas2016</t>
  </si>
  <si>
    <t>Adic Esc Nina</t>
  </si>
  <si>
    <t>Comp dir 2016</t>
  </si>
  <si>
    <t>comp dir 2022</t>
  </si>
  <si>
    <t>Puntos Extensión</t>
  </si>
  <si>
    <t>NOMBRE del cargo</t>
  </si>
  <si>
    <t>Buscar en la hoja cargos si no saben el número del cargo y luego controlar por el nombre</t>
  </si>
  <si>
    <t>¿Sos directivo de escuela Nina?</t>
  </si>
  <si>
    <t>Si: 1; No: 0</t>
  </si>
  <si>
    <t>Aumento acumulado</t>
  </si>
  <si>
    <t>Años de antigüedad</t>
  </si>
  <si>
    <t>poné los años</t>
  </si>
  <si>
    <t>Porcentaje acum</t>
  </si>
  <si>
    <t>Aumento Provincial</t>
  </si>
  <si>
    <t>Transporte: cant km semanales</t>
  </si>
  <si>
    <t>Sueldo Liquido</t>
  </si>
  <si>
    <t>Puntos básicos</t>
  </si>
  <si>
    <t>Puntos de jornada completa</t>
  </si>
  <si>
    <t>Sin Montos en negro:</t>
  </si>
  <si>
    <t>Complemento NEP</t>
  </si>
  <si>
    <t>CODIGO</t>
  </si>
  <si>
    <t>PORCENT</t>
  </si>
  <si>
    <t>CONCEPTO</t>
  </si>
  <si>
    <t>HABERES</t>
  </si>
  <si>
    <t>DESCUENTOS</t>
  </si>
  <si>
    <t>Asignación de la categoría</t>
  </si>
  <si>
    <t>Complemento de Básico</t>
  </si>
  <si>
    <t>Nuevo</t>
  </si>
  <si>
    <t>03 o 08</t>
  </si>
  <si>
    <t>Complemento directivo</t>
  </si>
  <si>
    <t>Adicional Nina</t>
  </si>
  <si>
    <t>Adic. Art. 2 y 3 Dcrto. 5863/05</t>
  </si>
  <si>
    <t>Antigüedad</t>
  </si>
  <si>
    <t>Product. Dcrto. 5863/05</t>
  </si>
  <si>
    <t>Plus productividad docente</t>
  </si>
  <si>
    <t>Prolongación de Jornada</t>
  </si>
  <si>
    <t>Función diferencial docente</t>
  </si>
  <si>
    <t>Bonific Ubic Escuela (ZONA)</t>
  </si>
  <si>
    <t>Adicional para mínimo</t>
  </si>
  <si>
    <t>Monto Remunerativo</t>
  </si>
  <si>
    <t>Nuevo cod Bonif y Remun</t>
  </si>
  <si>
    <t>Compensación por traslado</t>
  </si>
  <si>
    <t>Varios</t>
  </si>
  <si>
    <t>Total Asignaciones Familiares</t>
  </si>
  <si>
    <t>Total nominal provincia</t>
  </si>
  <si>
    <t>FOPID</t>
  </si>
  <si>
    <t>Conectividad Provincial</t>
  </si>
  <si>
    <t>Total haberes</t>
  </si>
  <si>
    <t>Reajuste cod 188</t>
  </si>
  <si>
    <t>16% JUN  a 19% JUL</t>
  </si>
  <si>
    <t>Ap jubilat</t>
  </si>
  <si>
    <t>Ob social</t>
  </si>
  <si>
    <t>Seg vida</t>
  </si>
  <si>
    <t>Aporte sindical AGMER</t>
  </si>
  <si>
    <t>Otro desc</t>
  </si>
  <si>
    <t>Descuentos</t>
  </si>
  <si>
    <t>Aumento Remunerativo</t>
  </si>
  <si>
    <t>Porcentaje Remunerativo</t>
  </si>
  <si>
    <t>4000xx</t>
  </si>
  <si>
    <t>Sueldo líquido</t>
  </si>
  <si>
    <t>Total remunerativos</t>
  </si>
  <si>
    <t>Aumento del mes</t>
  </si>
  <si>
    <t>Porc resp a anterior</t>
  </si>
  <si>
    <t>Rem Porcentual</t>
  </si>
  <si>
    <t>Porcentaje acumulado</t>
  </si>
  <si>
    <t>Aumento Remunerativo Acum</t>
  </si>
  <si>
    <t>Medio Aguinaldo</t>
  </si>
  <si>
    <t>código 100</t>
  </si>
  <si>
    <t>código 186 (No remun)</t>
  </si>
  <si>
    <t>Líquido</t>
  </si>
  <si>
    <t>Descuentos con aguinaldo</t>
  </si>
  <si>
    <t>Sueldo líquido incluyendo aguinaldo</t>
  </si>
  <si>
    <t>Aguinaldo de bolsillo</t>
  </si>
  <si>
    <t>HORAS DE NIVEL MEDIO</t>
  </si>
  <si>
    <t>Número de horas</t>
  </si>
  <si>
    <t>Años de Antigüedad</t>
  </si>
  <si>
    <t>Por los topes de algunos códigos</t>
  </si>
  <si>
    <t>Nº horas que cobran código 06</t>
  </si>
  <si>
    <t>Nº horas que cobran incentivo</t>
  </si>
  <si>
    <t>Adicional horas media (1: Si; 0: No)</t>
  </si>
  <si>
    <t>Cant horas Cod 38</t>
  </si>
  <si>
    <t>Trans: cant km semanales</t>
  </si>
  <si>
    <t>Horas cátedra</t>
  </si>
  <si>
    <t>Productiv Dcrto. 5863/05</t>
  </si>
  <si>
    <t>Adicional horas media</t>
  </si>
  <si>
    <t>Aprox</t>
  </si>
  <si>
    <t>NUEVO ADIC. HS. CAT.</t>
  </si>
  <si>
    <t>Sueldo Nominal Provincia</t>
  </si>
  <si>
    <t>Otros</t>
  </si>
  <si>
    <t>Haberes</t>
  </si>
  <si>
    <t>Ap jubilatorio</t>
  </si>
  <si>
    <t>Obra social</t>
  </si>
  <si>
    <t>Aumento acumulado anual</t>
  </si>
  <si>
    <t>HORAS DE NIVEL Superior</t>
  </si>
  <si>
    <t>Sueldo nominal provincia</t>
  </si>
  <si>
    <t>Autor</t>
  </si>
  <si>
    <t>Víctor Hugo Hutt</t>
  </si>
  <si>
    <t>AGMER Seccional Uruguay</t>
  </si>
  <si>
    <t>huttvictor@gmail.com</t>
  </si>
  <si>
    <t>www.agmeruruguay.com.ar</t>
  </si>
  <si>
    <t>Facebook: agmeruruguay</t>
  </si>
  <si>
    <t>www.victorhutt.com.ar</t>
  </si>
  <si>
    <t>indicemay26</t>
  </si>
  <si>
    <t>Indiceproljormay26</t>
  </si>
  <si>
    <t>Aumentomayo26</t>
  </si>
  <si>
    <t xml:space="preserve">Sueldo inicial: </t>
  </si>
  <si>
    <t>FOPID ART 2 DTO 500</t>
  </si>
  <si>
    <t>Conectividad Art2 Dto 500</t>
  </si>
  <si>
    <t>Complem FOPID. (Adic Mín Negro!!)</t>
  </si>
  <si>
    <t>Total Montos en negro</t>
  </si>
  <si>
    <t>indicejul26</t>
  </si>
  <si>
    <t>Indiceproljorjul26</t>
  </si>
  <si>
    <t>indicesep26</t>
  </si>
  <si>
    <t>Indiceproljorsep26</t>
  </si>
  <si>
    <t>Aumentojulio26</t>
  </si>
  <si>
    <t>Aumentoseptiembre26</t>
  </si>
  <si>
    <t>% CBT Junio</t>
  </si>
  <si>
    <t>% CBT Abril</t>
  </si>
  <si>
    <t>Aumentooctubre26</t>
  </si>
  <si>
    <t>Aumentonoviembre26</t>
  </si>
  <si>
    <t>indiceoct26</t>
  </si>
  <si>
    <t>Indiceproljoroct26</t>
  </si>
  <si>
    <t>indicenov26</t>
  </si>
  <si>
    <t>Indiceproljornov26</t>
  </si>
  <si>
    <t>Complem . (Adic Mín Negro!!)</t>
  </si>
  <si>
    <t>Se agregó al 184</t>
  </si>
  <si>
    <t>Se agregó al 204</t>
  </si>
  <si>
    <t>Antig Sobre Código 25</t>
  </si>
  <si>
    <t>Antig sobre Código 25</t>
  </si>
  <si>
    <t>Está en el código 10</t>
  </si>
  <si>
    <t>ahora como en recibo</t>
  </si>
  <si>
    <t>Desde Dic 25 a Sep 26</t>
  </si>
  <si>
    <t>De acuerdo a Decreto 3315/26</t>
  </si>
  <si>
    <t>Actualizado 07/10/2026</t>
  </si>
  <si>
    <t>Es de Agosto 26</t>
  </si>
  <si>
    <t>% CBT Agosto</t>
  </si>
  <si>
    <t>% CBT Julio</t>
  </si>
  <si>
    <r>
      <t xml:space="preserve">Diciembre 25 hasta Agosto 26 </t>
    </r>
    <r>
      <rPr>
        <sz val="11"/>
        <color theme="1"/>
        <rFont val="Arial"/>
        <family val="2"/>
      </rPr>
      <t>(porque no hubo recupero en enero)</t>
    </r>
  </si>
  <si>
    <t>Sueldo Septiembre respecto a CBT Agosto</t>
  </si>
  <si>
    <t>Realizado de acuerdo a Decreto 3315/26</t>
  </si>
  <si>
    <t xml:space="preserve">Link a video sobre manejo simuladores: </t>
  </si>
  <si>
    <t>https://www.youtube.com/watch?v=V6Y18dRL1ww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</si>
</sst>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6" formatCode="&quot;$&quot;\ #,##0;[Red]\-&quot;$&quot;\ #,##0"/>
    <numFmt numFmtId="164" formatCode="0.0"/>
    <numFmt numFmtId="166" formatCode="0.0%"/>
    <numFmt numFmtId="167" formatCode="0.000"/>
    <numFmt numFmtId="168" formatCode="0.00000"/>
    <numFmt numFmtId="169" formatCode="0.0000"/>
    <numFmt numFmtId="170" formatCode="0.000000"/>
    <numFmt numFmtId="171" formatCode="0.00000000"/>
    <numFmt numFmtId="172" formatCode="0.0000%"/>
    <numFmt numFmtId="173" formatCode="0.000%"/>
    <numFmt numFmtId="174" formatCode="#,000.00_);[Red]\(#,000.00\)"/>
    <numFmt numFmtId="175" formatCode="0.0000000"/>
    <numFmt numFmtId="176" formatCode="0.0000000%"/>
    <numFmt numFmtId="178" formatCode="#,##0.0000"/>
  </numFmts>
  <fonts count="14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b/>
      <sz val="10"/>
      <color rgb="FFFF0000"/>
      <name val="Arial"/>
      <family val="2"/>
    </font>
    <font>
      <u/>
      <sz val="10"/>
      <color rgb="FF0000FF"/>
      <name val="Arial"/>
      <family val="2"/>
    </font>
    <font>
      <b/>
      <sz val="10"/>
      <color rgb="FF000000"/>
      <name val="Arial"/>
      <family val="2"/>
    </font>
    <font>
      <sz val="11"/>
      <color theme="5" tint="-0.499984740745262"/>
      <name val="Calibri"/>
      <family val="2"/>
      <scheme val="minor"/>
    </font>
    <font>
      <sz val="10"/>
      <color rgb="FF81160E"/>
      <name val="Arial"/>
      <family val="2"/>
    </font>
    <font>
      <sz val="10"/>
      <color theme="1"/>
      <name val="Arial"/>
      <family val="2"/>
    </font>
    <font>
      <sz val="10"/>
      <color rgb="FF538DD5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4"/>
      <color rgb="FFFF0000"/>
      <name val="Arial"/>
      <family val="2"/>
    </font>
    <font>
      <b/>
      <u/>
      <sz val="22"/>
      <color theme="4" tint="-0.499984740745262"/>
      <name val="Arial"/>
      <family val="2"/>
    </font>
    <font>
      <b/>
      <u/>
      <sz val="16"/>
      <color theme="4" tint="-0.499984740745262"/>
      <name val="Arial"/>
      <family val="2"/>
    </font>
    <font>
      <b/>
      <u/>
      <sz val="20"/>
      <color theme="4" tint="-0.499984740745262"/>
      <name val="Arial"/>
      <family val="2"/>
    </font>
    <font>
      <sz val="10"/>
      <color rgb="FF008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18"/>
      <color rgb="FFFFFFFF"/>
      <name val="Arial"/>
      <family val="2"/>
    </font>
    <font>
      <sz val="10"/>
      <color rgb="FFFF0000"/>
      <name val="Arial"/>
      <family val="2"/>
    </font>
    <font>
      <b/>
      <u/>
      <sz val="12"/>
      <color rgb="FF0000FF"/>
      <name val="Arial"/>
      <family val="2"/>
    </font>
    <font>
      <b/>
      <sz val="14"/>
      <color theme="8" tint="0.59999389629810485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2"/>
      <color rgb="FF0000FF"/>
      <name val="Arial"/>
      <family val="2"/>
    </font>
    <font>
      <b/>
      <sz val="18"/>
      <color rgb="FFFF000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sz val="12"/>
      <color rgb="FF002060"/>
      <name val="Arial"/>
      <family val="2"/>
    </font>
    <font>
      <b/>
      <sz val="11"/>
      <color theme="4" tint="-0.499984740745262"/>
      <name val="Arial"/>
      <family val="2"/>
    </font>
    <font>
      <b/>
      <sz val="14"/>
      <color theme="4" tint="-0.499984740745262"/>
      <name val="Arial"/>
      <family val="2"/>
    </font>
    <font>
      <b/>
      <sz val="16"/>
      <color theme="4" tint="-0.499984740745262"/>
      <name val="Arial"/>
      <family val="2"/>
    </font>
    <font>
      <sz val="8"/>
      <color theme="1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6"/>
      <color rgb="FFFFFFFF"/>
      <name val="Arial"/>
      <family val="2"/>
    </font>
    <font>
      <b/>
      <sz val="12"/>
      <color rgb="FFFFFFFF"/>
      <name val="Arial"/>
      <family val="2"/>
    </font>
    <font>
      <b/>
      <sz val="14"/>
      <color rgb="FFFFFFFF"/>
      <name val="Arial"/>
      <family val="2"/>
    </font>
    <font>
      <sz val="12"/>
      <color rgb="FFFFFFFF"/>
      <name val="Arial"/>
      <family val="2"/>
    </font>
    <font>
      <sz val="12"/>
      <color theme="1"/>
      <name val="Arial"/>
      <family val="2"/>
    </font>
    <font>
      <b/>
      <sz val="16"/>
      <color rgb="FF0000FF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12"/>
      <color rgb="FF16365C"/>
      <name val="Arial"/>
      <family val="2"/>
    </font>
    <font>
      <sz val="10"/>
      <name val="Arial"/>
      <family val="2"/>
    </font>
    <font>
      <b/>
      <u/>
      <sz val="20"/>
      <color rgb="FF000080"/>
      <name val="&quot;Monotype Corsiva&quot;"/>
      <charset val="134"/>
    </font>
    <font>
      <b/>
      <sz val="12"/>
      <color rgb="FF0000FF"/>
      <name val="Arial"/>
      <family val="2"/>
    </font>
    <font>
      <b/>
      <sz val="12"/>
      <color theme="4" tint="-0.499984740745262"/>
      <name val="Arial"/>
      <family val="2"/>
    </font>
    <font>
      <b/>
      <sz val="14"/>
      <color theme="9" tint="-0.499984740745262"/>
      <name val="Arial"/>
      <family val="2"/>
    </font>
    <font>
      <b/>
      <sz val="16"/>
      <color theme="9" tint="-0.499984740745262"/>
      <name val="Arial"/>
      <family val="2"/>
    </font>
    <font>
      <b/>
      <u/>
      <sz val="22"/>
      <color rgb="FF000080"/>
      <name val="Calibri Light"/>
      <family val="2"/>
      <scheme val="major"/>
    </font>
    <font>
      <b/>
      <u/>
      <sz val="12"/>
      <color rgb="FF000080"/>
      <name val="Arial"/>
      <family val="2"/>
    </font>
    <font>
      <b/>
      <u/>
      <sz val="16"/>
      <name val="&quot;Monotype Corsiva&quot;"/>
      <charset val="134"/>
    </font>
    <font>
      <b/>
      <u/>
      <sz val="12"/>
      <color rgb="FFFFFFFF"/>
      <name val="Arial"/>
      <family val="2"/>
    </font>
    <font>
      <b/>
      <sz val="11"/>
      <color rgb="FF000000"/>
      <name val="Arial"/>
      <family val="2"/>
    </font>
    <font>
      <b/>
      <sz val="10"/>
      <name val="Arial"/>
      <family val="2"/>
    </font>
    <font>
      <b/>
      <u/>
      <sz val="11"/>
      <color rgb="FF0000FF"/>
      <name val="Arial"/>
      <family val="2"/>
    </font>
    <font>
      <b/>
      <sz val="12"/>
      <color theme="1"/>
      <name val="Calibri Light"/>
      <family val="2"/>
      <scheme val="major"/>
    </font>
    <font>
      <b/>
      <u/>
      <sz val="16"/>
      <color rgb="FF000080"/>
      <name val="Arial"/>
      <family val="2"/>
    </font>
    <font>
      <b/>
      <sz val="11"/>
      <color rgb="FFFF0000"/>
      <name val="Arial"/>
      <family val="2"/>
    </font>
    <font>
      <sz val="11"/>
      <color rgb="FF000000"/>
      <name val="Arial"/>
      <family val="2"/>
    </font>
    <font>
      <b/>
      <sz val="11"/>
      <color rgb="FF0F243E"/>
      <name val="Arial"/>
      <family val="2"/>
    </font>
    <font>
      <b/>
      <sz val="18"/>
      <name val="Arial"/>
      <family val="2"/>
    </font>
    <font>
      <b/>
      <sz val="16"/>
      <color rgb="FF0000CC"/>
      <name val="Arial"/>
      <family val="2"/>
    </font>
    <font>
      <b/>
      <sz val="12"/>
      <color rgb="FF000000"/>
      <name val="Arial"/>
      <family val="2"/>
    </font>
    <font>
      <b/>
      <sz val="16"/>
      <color theme="5" tint="-0.249977111117893"/>
      <name val="Arial"/>
      <family val="2"/>
    </font>
    <font>
      <b/>
      <sz val="12"/>
      <color rgb="FFFF3300"/>
      <name val="Arial"/>
      <family val="2"/>
    </font>
    <font>
      <b/>
      <sz val="14"/>
      <color rgb="FFFF3300"/>
      <name val="Arial"/>
      <family val="2"/>
    </font>
    <font>
      <b/>
      <sz val="14"/>
      <color rgb="FF0000CC"/>
      <name val="Arial"/>
      <family val="2"/>
    </font>
    <font>
      <b/>
      <sz val="16"/>
      <color rgb="FFFF0000"/>
      <name val="Arial"/>
      <family val="2"/>
    </font>
    <font>
      <sz val="10"/>
      <color theme="7"/>
      <name val="Arial"/>
      <family val="2"/>
    </font>
    <font>
      <b/>
      <sz val="12"/>
      <color rgb="FF002060"/>
      <name val="Arial"/>
      <family val="2"/>
    </font>
    <font>
      <b/>
      <sz val="11"/>
      <color theme="7"/>
      <name val="Arial"/>
      <family val="2"/>
    </font>
    <font>
      <b/>
      <sz val="11"/>
      <color theme="0"/>
      <name val="Arial"/>
      <family val="2"/>
    </font>
    <font>
      <sz val="15"/>
      <color theme="1"/>
      <name val="Arial"/>
      <family val="2"/>
    </font>
    <font>
      <b/>
      <sz val="15"/>
      <color theme="1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10"/>
      <color rgb="FF92D050"/>
      <name val="Arial"/>
      <family val="2"/>
    </font>
    <font>
      <sz val="9"/>
      <color rgb="FF000000"/>
      <name val="Arial"/>
      <family val="2"/>
    </font>
    <font>
      <b/>
      <sz val="10"/>
      <color rgb="FF92D050"/>
      <name val="Arial"/>
      <family val="2"/>
    </font>
    <font>
      <sz val="11"/>
      <color rgb="FFFF0000"/>
      <name val="Inconsolata"/>
    </font>
    <font>
      <b/>
      <sz val="10"/>
      <color rgb="FF0000FF"/>
      <name val="Arial"/>
      <family val="2"/>
    </font>
    <font>
      <sz val="10"/>
      <color rgb="FF0000FF"/>
      <name val="Arial"/>
      <family val="2"/>
    </font>
    <font>
      <b/>
      <u/>
      <sz val="10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4"/>
      <color theme="1"/>
      <name val="Arial"/>
      <family val="2"/>
    </font>
    <font>
      <b/>
      <u/>
      <sz val="18"/>
      <color theme="1"/>
      <name val="Arial"/>
      <family val="2"/>
    </font>
    <font>
      <b/>
      <sz val="14"/>
      <color rgb="FF800000"/>
      <name val="Arial"/>
      <family val="2"/>
    </font>
    <font>
      <b/>
      <sz val="14"/>
      <color rgb="FF000000"/>
      <name val="Arial"/>
      <family val="2"/>
    </font>
    <font>
      <b/>
      <sz val="12"/>
      <color rgb="FF800000"/>
      <name val="Arial"/>
      <family val="2"/>
    </font>
    <font>
      <b/>
      <u/>
      <sz val="12"/>
      <color rgb="FF800000"/>
      <name val="Arial"/>
      <family val="2"/>
    </font>
    <font>
      <sz val="20"/>
      <color theme="1"/>
      <name val="Arial"/>
      <family val="2"/>
    </font>
    <font>
      <b/>
      <sz val="10"/>
      <color rgb="FF339966"/>
      <name val="Arial"/>
      <family val="2"/>
    </font>
    <font>
      <b/>
      <sz val="10"/>
      <color theme="4" tint="-0.499984740745262"/>
      <name val="Arial"/>
      <family val="2"/>
    </font>
    <font>
      <b/>
      <sz val="9"/>
      <color rgb="FF000000"/>
      <name val="Arial"/>
      <family val="2"/>
    </font>
    <font>
      <b/>
      <u/>
      <sz val="18"/>
      <color rgb="FF000080"/>
      <name val="Calibri Light"/>
      <family val="2"/>
      <scheme val="major"/>
    </font>
    <font>
      <sz val="12"/>
      <color rgb="FF000000"/>
      <name val="Arial"/>
      <family val="2"/>
    </font>
    <font>
      <b/>
      <sz val="14"/>
      <color rgb="FF0000FF"/>
      <name val="Arial"/>
      <family val="2"/>
    </font>
    <font>
      <b/>
      <sz val="10"/>
      <color rgb="FF073763"/>
      <name val="Arial"/>
      <family val="2"/>
    </font>
    <font>
      <b/>
      <sz val="10"/>
      <color rgb="FFFF3300"/>
      <name val="Arial"/>
      <family val="2"/>
    </font>
    <font>
      <b/>
      <sz val="20"/>
      <color rgb="FF00FF00"/>
      <name val="Arial"/>
      <family val="2"/>
    </font>
    <font>
      <sz val="11"/>
      <color rgb="FFFF0000"/>
      <name val="Arial"/>
      <family val="2"/>
    </font>
    <font>
      <b/>
      <sz val="12"/>
      <color rgb="FF990000"/>
      <name val="Arial"/>
      <family val="2"/>
    </font>
    <font>
      <b/>
      <u/>
      <sz val="16"/>
      <color rgb="FF800000"/>
      <name val="Arial"/>
      <family val="2"/>
    </font>
    <font>
      <b/>
      <sz val="11"/>
      <color rgb="FF800000"/>
      <name val="Arial"/>
      <family val="2"/>
    </font>
    <font>
      <sz val="14"/>
      <color rgb="FF000000"/>
      <name val="Arial"/>
      <family val="2"/>
    </font>
    <font>
      <b/>
      <u/>
      <sz val="18"/>
      <color rgb="FF000080"/>
      <name val="Calibri"/>
      <family val="2"/>
      <scheme val="minor"/>
    </font>
    <font>
      <b/>
      <u/>
      <sz val="12"/>
      <color rgb="FF000080"/>
      <name val="&quot;Monotype Corsiva&quot;"/>
      <charset val="134"/>
    </font>
    <font>
      <b/>
      <sz val="10"/>
      <color rgb="FF16365C"/>
      <name val="Arial"/>
      <family val="2"/>
    </font>
    <font>
      <b/>
      <u/>
      <sz val="10"/>
      <color rgb="FF000080"/>
      <name val="&quot;Monotype Corsiva&quot;"/>
      <charset val="134"/>
    </font>
    <font>
      <b/>
      <sz val="12"/>
      <color rgb="FF0F243E"/>
      <name val="Arial"/>
      <family val="2"/>
    </font>
    <font>
      <b/>
      <sz val="12"/>
      <color rgb="FF00FF00"/>
      <name val="Arial"/>
      <family val="2"/>
    </font>
    <font>
      <b/>
      <sz val="9"/>
      <color theme="4" tint="-0.499984740745262"/>
      <name val="Arial"/>
      <family val="2"/>
    </font>
    <font>
      <b/>
      <sz val="14"/>
      <color rgb="FF00FF00"/>
      <name val="Arial"/>
      <family val="2"/>
    </font>
    <font>
      <b/>
      <u/>
      <sz val="14"/>
      <color rgb="FF800000"/>
      <name val="Arial"/>
      <family val="2"/>
    </font>
    <font>
      <b/>
      <sz val="12"/>
      <color rgb="FF800080"/>
      <name val="Arial"/>
      <family val="2"/>
    </font>
    <font>
      <u/>
      <sz val="14"/>
      <color theme="10"/>
      <name val="Arial"/>
      <family val="2"/>
    </font>
    <font>
      <u/>
      <sz val="12"/>
      <color rgb="FF0000FF"/>
      <name val="Arial"/>
      <family val="2"/>
    </font>
    <font>
      <b/>
      <sz val="9"/>
      <name val="Tahoma"/>
      <family val="2"/>
    </font>
    <font>
      <sz val="9"/>
      <name val="Tahoma"/>
      <family val="2"/>
    </font>
    <font>
      <b/>
      <sz val="16"/>
      <color rgb="FF002060"/>
      <name val="Arial"/>
      <family val="2"/>
    </font>
    <font>
      <sz val="10"/>
      <color theme="0"/>
      <name val="Arial"/>
      <family val="2"/>
    </font>
    <font>
      <b/>
      <sz val="8"/>
      <color rgb="FF000000"/>
      <name val="Verdana"/>
      <family val="2"/>
    </font>
    <font>
      <b/>
      <sz val="10"/>
      <color theme="0"/>
      <name val="Arial"/>
      <family val="2"/>
    </font>
    <font>
      <b/>
      <sz val="12"/>
      <color theme="0"/>
      <name val="Calibri"/>
      <family val="2"/>
      <scheme val="minor"/>
    </font>
    <font>
      <sz val="12"/>
      <name val="Arial"/>
      <family val="2"/>
    </font>
    <font>
      <b/>
      <sz val="14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4"/>
      <name val="Arial"/>
      <family val="2"/>
    </font>
    <font>
      <b/>
      <sz val="18"/>
      <color rgb="FFFFFF00"/>
      <name val="Arial"/>
      <family val="2"/>
    </font>
    <font>
      <b/>
      <sz val="20"/>
      <color rgb="FFFF0000"/>
      <name val="Arial"/>
      <family val="2"/>
    </font>
    <font>
      <b/>
      <sz val="24"/>
      <color theme="0"/>
      <name val="Arial"/>
      <family val="2"/>
    </font>
    <font>
      <b/>
      <sz val="11"/>
      <color rgb="FF000000"/>
      <name val="Verdana"/>
      <family val="2"/>
    </font>
    <font>
      <b/>
      <sz val="20"/>
      <color rgb="FFFF0000"/>
      <name val="Calibri"/>
      <family val="2"/>
      <scheme val="minor"/>
    </font>
    <font>
      <b/>
      <sz val="16"/>
      <color theme="1"/>
      <name val="Arial"/>
      <family val="2"/>
    </font>
    <font>
      <b/>
      <u/>
      <sz val="14"/>
      <color theme="10"/>
      <name val="Calibri"/>
      <family val="2"/>
      <scheme val="minor"/>
    </font>
  </fonts>
  <fills count="67">
    <fill>
      <patternFill patternType="none"/>
    </fill>
    <fill>
      <patternFill patternType="gray125"/>
    </fill>
    <fill>
      <patternFill patternType="solid">
        <fgColor theme="6" tint="0.79995117038483843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rgb="FFFF0000"/>
      </patternFill>
    </fill>
    <fill>
      <patternFill patternType="solid">
        <fgColor theme="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rgb="FF00FFFF"/>
        <bgColor rgb="FF00FFFF"/>
      </patternFill>
    </fill>
    <fill>
      <patternFill patternType="solid">
        <fgColor rgb="FFCCFFFF"/>
        <bgColor rgb="FFCCFFFF"/>
      </patternFill>
    </fill>
    <fill>
      <patternFill patternType="solid">
        <fgColor rgb="FF99CC00"/>
        <bgColor rgb="FF99CC00"/>
      </patternFill>
    </fill>
    <fill>
      <patternFill patternType="solid">
        <fgColor theme="5" tint="0.39994506668294322"/>
        <bgColor rgb="FFFFFF00"/>
      </patternFill>
    </fill>
    <fill>
      <patternFill patternType="solid">
        <fgColor theme="5" tint="0.39994506668294322"/>
        <bgColor rgb="FF92D050"/>
      </patternFill>
    </fill>
    <fill>
      <patternFill patternType="solid">
        <fgColor rgb="FFFF6600"/>
        <bgColor rgb="FFFF66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99FF99"/>
        <bgColor rgb="FF99FF99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66FF99"/>
        <bgColor rgb="FF66FF99"/>
      </patternFill>
    </fill>
    <fill>
      <patternFill patternType="solid">
        <fgColor rgb="FF00FF00"/>
        <bgColor indexed="64"/>
      </patternFill>
    </fill>
    <fill>
      <patternFill patternType="solid">
        <fgColor rgb="FFFF66FF"/>
        <bgColor rgb="FFD9D9D9"/>
      </patternFill>
    </fill>
    <fill>
      <patternFill patternType="solid">
        <fgColor rgb="FFFF66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9DAF8"/>
        <bgColor rgb="FFC9DAF8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C9DAF8"/>
      </patternFill>
    </fill>
    <fill>
      <patternFill patternType="solid">
        <fgColor rgb="FFEAD1DC"/>
        <bgColor rgb="FFEAD1DC"/>
      </patternFill>
    </fill>
    <fill>
      <patternFill patternType="solid">
        <fgColor rgb="FFCCFFCC"/>
        <bgColor rgb="FFCCFFCC"/>
      </patternFill>
    </fill>
    <fill>
      <patternFill patternType="solid">
        <fgColor rgb="FFFF66FF"/>
        <bgColor rgb="FF00FF00"/>
      </patternFill>
    </fill>
    <fill>
      <patternFill patternType="solid">
        <fgColor rgb="FF06EAEA"/>
        <bgColor rgb="FF06EAEA"/>
      </patternFill>
    </fill>
    <fill>
      <patternFill patternType="solid">
        <fgColor rgb="FF00FF00"/>
        <bgColor rgb="FFFFFFFF"/>
      </patternFill>
    </fill>
    <fill>
      <patternFill patternType="solid">
        <fgColor rgb="FF95B3D7"/>
        <bgColor rgb="FF95B3D7"/>
      </patternFill>
    </fill>
    <fill>
      <patternFill patternType="solid">
        <fgColor rgb="FF8DB4E2"/>
        <bgColor rgb="FF8DB4E2"/>
      </patternFill>
    </fill>
    <fill>
      <patternFill patternType="solid">
        <fgColor theme="5" tint="0.59999389629810485"/>
        <bgColor rgb="FF8DB4E2"/>
      </patternFill>
    </fill>
    <fill>
      <patternFill patternType="solid">
        <fgColor rgb="FFC4BD97"/>
        <bgColor rgb="FFC4BD97"/>
      </patternFill>
    </fill>
    <fill>
      <patternFill patternType="solid">
        <fgColor rgb="FFC4D79B"/>
        <bgColor rgb="FFC4D79B"/>
      </patternFill>
    </fill>
    <fill>
      <patternFill patternType="solid">
        <fgColor theme="1"/>
        <bgColor rgb="FFFFFFFF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00FF00"/>
        <bgColor rgb="FF66FF99"/>
      </patternFill>
    </fill>
    <fill>
      <patternFill patternType="solid">
        <fgColor rgb="FF00FF00"/>
        <bgColor rgb="FFD9D9D9"/>
      </patternFill>
    </fill>
    <fill>
      <patternFill patternType="solid">
        <fgColor rgb="FF00FF00"/>
        <bgColor rgb="FF00FFFF"/>
      </patternFill>
    </fill>
    <fill>
      <patternFill patternType="solid">
        <fgColor theme="8"/>
        <bgColor indexed="64"/>
      </patternFill>
    </fill>
    <fill>
      <patternFill patternType="solid">
        <fgColor rgb="FF92D050"/>
        <bgColor rgb="FF92D050"/>
      </patternFill>
    </fill>
    <fill>
      <patternFill patternType="solid">
        <fgColor rgb="FF66FF66"/>
        <bgColor rgb="FF66FF66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rgb="FFD9D9D9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rgb="FFD9D9D9"/>
      </patternFill>
    </fill>
    <fill>
      <patternFill patternType="solid">
        <fgColor theme="8" tint="0.59999389629810485"/>
        <bgColor rgb="FF99FF99"/>
      </patternFill>
    </fill>
    <fill>
      <patternFill patternType="solid">
        <fgColor theme="1"/>
        <bgColor rgb="FFFF0000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rgb="FFD9D9D9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D9D9D9"/>
      </patternFill>
    </fill>
    <fill>
      <patternFill patternType="solid">
        <fgColor rgb="FFFFFF00"/>
        <bgColor rgb="FF06EAEA"/>
      </patternFill>
    </fill>
    <fill>
      <patternFill patternType="solid">
        <fgColor rgb="FFFFFF00"/>
        <bgColor rgb="FF00FFFF"/>
      </patternFill>
    </fill>
  </fills>
  <borders count="12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FF"/>
      </left>
      <right/>
      <top style="thin">
        <color rgb="FF0000FF"/>
      </top>
      <bottom/>
      <diagonal/>
    </border>
    <border>
      <left style="thin">
        <color rgb="FF0000FF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/>
      <right/>
      <top style="thin">
        <color rgb="FFFFFF00"/>
      </top>
      <bottom/>
      <diagonal/>
    </border>
    <border>
      <left style="thin">
        <color rgb="FF00FF00"/>
      </left>
      <right/>
      <top style="thin">
        <color rgb="FF00FF00"/>
      </top>
      <bottom/>
      <diagonal/>
    </border>
    <border>
      <left/>
      <right/>
      <top style="thin">
        <color rgb="FF00FF00"/>
      </top>
      <bottom/>
      <diagonal/>
    </border>
    <border>
      <left style="thin">
        <color rgb="FF00FF00"/>
      </left>
      <right/>
      <top/>
      <bottom/>
      <diagonal/>
    </border>
    <border>
      <left/>
      <right style="thin">
        <color rgb="FF00FF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rgb="FF00FF00"/>
      </right>
      <top/>
      <bottom/>
      <diagonal/>
    </border>
    <border>
      <left style="thick">
        <color rgb="FF00FF00"/>
      </left>
      <right/>
      <top/>
      <bottom/>
      <diagonal/>
    </border>
    <border>
      <left style="thick">
        <color theme="5" tint="-0.24994659260841701"/>
      </left>
      <right/>
      <top style="thick">
        <color theme="5" tint="-0.24994659260841701"/>
      </top>
      <bottom/>
      <diagonal/>
    </border>
    <border>
      <left/>
      <right/>
      <top style="thick">
        <color theme="5" tint="-0.24994659260841701"/>
      </top>
      <bottom/>
      <diagonal/>
    </border>
    <border>
      <left style="thin">
        <color rgb="FF000000"/>
      </left>
      <right style="thick">
        <color theme="5" tint="-0.24994659260841701"/>
      </right>
      <top style="thick">
        <color theme="5" tint="-0.24994659260841701"/>
      </top>
      <bottom style="thin">
        <color rgb="FF000000"/>
      </bottom>
      <diagonal/>
    </border>
    <border>
      <left style="thick">
        <color theme="5" tint="-0.24994659260841701"/>
      </left>
      <right/>
      <top style="thin">
        <color rgb="FF000000"/>
      </top>
      <bottom style="thin">
        <color rgb="FF000000"/>
      </bottom>
      <diagonal/>
    </border>
    <border>
      <left style="thin">
        <color rgb="FFFF0000"/>
      </left>
      <right style="thick">
        <color theme="5" tint="-0.24994659260841701"/>
      </right>
      <top/>
      <bottom style="thin">
        <color rgb="FFFF0000"/>
      </bottom>
      <diagonal/>
    </border>
    <border>
      <left style="thick">
        <color theme="5" tint="-0.24994659260841701"/>
      </left>
      <right/>
      <top/>
      <bottom/>
      <diagonal/>
    </border>
    <border>
      <left/>
      <right style="thick">
        <color theme="5" tint="-0.2499465926084170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ck">
        <color theme="5" tint="-0.499984740745262"/>
      </right>
      <top/>
      <bottom/>
      <diagonal/>
    </border>
    <border>
      <left/>
      <right/>
      <top style="double">
        <color rgb="FF00FF00"/>
      </top>
      <bottom/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/>
      <right style="double">
        <color rgb="FF00FF00"/>
      </right>
      <top/>
      <bottom/>
      <diagonal/>
    </border>
    <border>
      <left style="thick">
        <color theme="5" tint="-0.24994659260841701"/>
      </left>
      <right/>
      <top/>
      <bottom style="thin">
        <color rgb="FF000000"/>
      </bottom>
      <diagonal/>
    </border>
    <border>
      <left/>
      <right style="thick">
        <color theme="5" tint="-0.499984740745262"/>
      </right>
      <top style="thin">
        <color rgb="FF000000"/>
      </top>
      <bottom style="thin">
        <color rgb="FF000000"/>
      </bottom>
      <diagonal/>
    </border>
    <border>
      <left/>
      <right style="double">
        <color rgb="FF00FF00"/>
      </right>
      <top style="double">
        <color rgb="FF00FF00"/>
      </top>
      <bottom/>
      <diagonal/>
    </border>
    <border>
      <left/>
      <right/>
      <top style="thick">
        <color rgb="FF00FF00"/>
      </top>
      <bottom/>
      <diagonal/>
    </border>
    <border>
      <left style="thick">
        <color theme="5" tint="-0.24994659260841701"/>
      </left>
      <right/>
      <top/>
      <bottom style="thick">
        <color theme="5" tint="-0.24994659260841701"/>
      </bottom>
      <diagonal/>
    </border>
    <border>
      <left/>
      <right/>
      <top/>
      <bottom style="thick">
        <color theme="5" tint="-0.24994659260841701"/>
      </bottom>
      <diagonal/>
    </border>
    <border>
      <left/>
      <right style="thick">
        <color theme="5" tint="-0.24994659260841701"/>
      </right>
      <top/>
      <bottom style="thick">
        <color theme="5" tint="-0.24994659260841701"/>
      </bottom>
      <diagonal/>
    </border>
    <border>
      <left/>
      <right/>
      <top/>
      <bottom style="thick">
        <color rgb="FF00FF00"/>
      </bottom>
      <diagonal/>
    </border>
    <border>
      <left style="thin">
        <color rgb="FF000000"/>
      </left>
      <right/>
      <top/>
      <bottom/>
      <diagonal/>
    </border>
    <border>
      <left style="thin">
        <color rgb="FF666666"/>
      </left>
      <right/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rgb="FF000000"/>
      </left>
      <right/>
      <top style="thin">
        <color rgb="FF666666"/>
      </top>
      <bottom/>
      <diagonal/>
    </border>
    <border>
      <left style="thin">
        <color auto="1"/>
      </left>
      <right style="thin">
        <color auto="1"/>
      </right>
      <top style="medium">
        <color rgb="FF00B050"/>
      </top>
      <bottom style="medium">
        <color rgb="FF00B050"/>
      </bottom>
      <diagonal/>
    </border>
    <border>
      <left style="thin">
        <color rgb="FF666666"/>
      </left>
      <right/>
      <top/>
      <bottom/>
      <diagonal/>
    </border>
    <border>
      <left style="thin">
        <color rgb="FF666666"/>
      </left>
      <right style="thin">
        <color rgb="FF666666"/>
      </right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thin">
        <color rgb="FF000000"/>
      </left>
      <right/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/>
      <right style="thin">
        <color rgb="FF000000"/>
      </right>
      <top style="medium">
        <color rgb="FF1F497D"/>
      </top>
      <bottom style="thin">
        <color rgb="FF000000"/>
      </bottom>
      <diagonal/>
    </border>
    <border>
      <left/>
      <right style="medium">
        <color rgb="FF1F497D"/>
      </right>
      <top style="medium">
        <color rgb="FF1F497D"/>
      </top>
      <bottom style="thin">
        <color rgb="FF000000"/>
      </bottom>
      <diagonal/>
    </border>
    <border>
      <left style="medium">
        <color rgb="FF1F497D"/>
      </left>
      <right style="thin">
        <color rgb="FF000000"/>
      </right>
      <top/>
      <bottom style="medium">
        <color rgb="FF1F497D"/>
      </bottom>
      <diagonal/>
    </border>
    <border>
      <left/>
      <right style="medium">
        <color rgb="FF1F497D"/>
      </right>
      <top/>
      <bottom style="medium">
        <color rgb="FF1F497D"/>
      </bottom>
      <diagonal/>
    </border>
    <border>
      <left style="medium">
        <color rgb="FFE06666"/>
      </left>
      <right style="thin">
        <color rgb="FF000000"/>
      </right>
      <top style="medium">
        <color rgb="FFE06666"/>
      </top>
      <bottom style="thin">
        <color rgb="FF000000"/>
      </bottom>
      <diagonal/>
    </border>
    <border>
      <left/>
      <right style="medium">
        <color rgb="FFE06666"/>
      </right>
      <top style="medium">
        <color rgb="FFE06666"/>
      </top>
      <bottom style="thin">
        <color rgb="FF000000"/>
      </bottom>
      <diagonal/>
    </border>
    <border>
      <left style="medium">
        <color rgb="FFE06666"/>
      </left>
      <right style="thin">
        <color rgb="FF000000"/>
      </right>
      <top/>
      <bottom style="medium">
        <color rgb="FFE06666"/>
      </bottom>
      <diagonal/>
    </border>
    <border>
      <left/>
      <right style="medium">
        <color rgb="FFE06666"/>
      </right>
      <top/>
      <bottom style="medium">
        <color rgb="FFE06666"/>
      </bottom>
      <diagonal/>
    </border>
    <border>
      <left style="medium">
        <color rgb="FF6AA84F"/>
      </left>
      <right style="thin">
        <color rgb="FF000000"/>
      </right>
      <top style="medium">
        <color rgb="FF6AA84F"/>
      </top>
      <bottom style="thin">
        <color rgb="FF000000"/>
      </bottom>
      <diagonal/>
    </border>
    <border>
      <left/>
      <right style="medium">
        <color rgb="FF6AA84F"/>
      </right>
      <top style="medium">
        <color rgb="FF6AA84F"/>
      </top>
      <bottom style="thin">
        <color rgb="FF000000"/>
      </bottom>
      <diagonal/>
    </border>
    <border>
      <left style="medium">
        <color rgb="FF6AA84F"/>
      </left>
      <right style="thin">
        <color rgb="FF000000"/>
      </right>
      <top/>
      <bottom style="medium">
        <color rgb="FF6AA84F"/>
      </bottom>
      <diagonal/>
    </border>
    <border>
      <left/>
      <right style="medium">
        <color rgb="FF6AA84F"/>
      </right>
      <top/>
      <bottom style="medium">
        <color rgb="FF6AA84F"/>
      </bottom>
      <diagonal/>
    </border>
    <border>
      <left style="thick">
        <color rgb="FF0000CC"/>
      </left>
      <right style="thin">
        <color rgb="FF000000"/>
      </right>
      <top style="thick">
        <color rgb="FF0000CC"/>
      </top>
      <bottom style="thin">
        <color rgb="FF000000"/>
      </bottom>
      <diagonal/>
    </border>
    <border>
      <left/>
      <right style="thick">
        <color rgb="FF0000CC"/>
      </right>
      <top style="thick">
        <color rgb="FF0000CC"/>
      </top>
      <bottom style="thin">
        <color rgb="FF000000"/>
      </bottom>
      <diagonal/>
    </border>
    <border>
      <left style="thick">
        <color rgb="FF0000CC"/>
      </left>
      <right style="thin">
        <color rgb="FF000000"/>
      </right>
      <top/>
      <bottom style="thin">
        <color rgb="FF000000"/>
      </bottom>
      <diagonal/>
    </border>
    <border>
      <left/>
      <right style="thick">
        <color rgb="FF0000CC"/>
      </right>
      <top/>
      <bottom style="thin">
        <color rgb="FF000000"/>
      </bottom>
      <diagonal/>
    </border>
    <border>
      <left style="thick">
        <color rgb="FF0000CC"/>
      </left>
      <right style="thin">
        <color rgb="FF000000"/>
      </right>
      <top/>
      <bottom style="thick">
        <color rgb="FF0000CC"/>
      </bottom>
      <diagonal/>
    </border>
    <border>
      <left/>
      <right style="thick">
        <color rgb="FF0000CC"/>
      </right>
      <top/>
      <bottom style="thick">
        <color rgb="FF0000CC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00FF00"/>
      </left>
      <right style="double">
        <color rgb="FF00FF00"/>
      </right>
      <top/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00FF00"/>
      </left>
      <right style="double">
        <color rgb="FF00FF00"/>
      </right>
      <top/>
      <bottom style="double">
        <color rgb="FF00FF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 style="medium">
        <color rgb="FF1F497D"/>
      </left>
      <right style="thin">
        <color rgb="FF000000"/>
      </right>
      <top style="medium">
        <color rgb="FF1F497D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1F497D"/>
      </bottom>
      <diagonal/>
    </border>
    <border>
      <left/>
      <right style="thin">
        <color rgb="FF666666"/>
      </right>
      <top style="thin">
        <color rgb="FF666666"/>
      </top>
      <bottom/>
      <diagonal/>
    </border>
    <border>
      <left/>
      <right style="medium">
        <color rgb="FF1F497D"/>
      </right>
      <top/>
      <bottom/>
      <diagonal/>
    </border>
    <border>
      <left/>
      <right style="thin">
        <color rgb="FF000000"/>
      </right>
      <top style="medium">
        <color rgb="FFE06666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E06666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medium">
        <color rgb="FF0070C0"/>
      </left>
      <right style="medium">
        <color rgb="FF0070C0"/>
      </right>
      <top/>
      <bottom/>
      <diagonal/>
    </border>
    <border>
      <left style="thin">
        <color rgb="FFFF0000"/>
      </left>
      <right style="thin">
        <color rgb="FF000000"/>
      </right>
      <top style="thin">
        <color rgb="FFFF0000"/>
      </top>
      <bottom/>
      <diagonal/>
    </border>
    <border>
      <left style="thin">
        <color rgb="FFFF0000"/>
      </left>
      <right/>
      <top style="thin">
        <color rgb="FFFF0000"/>
      </top>
      <bottom style="thin">
        <color rgb="FF000000"/>
      </bottom>
      <diagonal/>
    </border>
    <border>
      <left/>
      <right style="thin">
        <color rgb="FF000000"/>
      </right>
      <top style="medium">
        <color rgb="FF6AA84F"/>
      </top>
      <bottom style="thin">
        <color rgb="FF000000"/>
      </bottom>
      <diagonal/>
    </border>
    <border>
      <left style="thick">
        <color rgb="FF0000CC"/>
      </left>
      <right/>
      <top/>
      <bottom/>
      <diagonal/>
    </border>
    <border>
      <left style="thin">
        <color rgb="FF000000"/>
      </left>
      <right style="thick">
        <color rgb="FF0000CC"/>
      </right>
      <top/>
      <bottom/>
      <diagonal/>
    </border>
    <border>
      <left style="thick">
        <color rgb="FF0000CC"/>
      </left>
      <right/>
      <top style="thin">
        <color rgb="FF000000"/>
      </top>
      <bottom/>
      <diagonal/>
    </border>
    <border>
      <left style="thin">
        <color rgb="FF000000"/>
      </left>
      <right style="thick">
        <color rgb="FF0000CC"/>
      </right>
      <top style="thin">
        <color rgb="FF000000"/>
      </top>
      <bottom/>
      <diagonal/>
    </border>
    <border>
      <left style="thick">
        <color rgb="FF0000CC"/>
      </left>
      <right/>
      <top style="thin">
        <color rgb="FF000000"/>
      </top>
      <bottom style="thick">
        <color rgb="FF0000CC"/>
      </bottom>
      <diagonal/>
    </border>
    <border>
      <left style="thin">
        <color rgb="FF000000"/>
      </left>
      <right style="thick">
        <color rgb="FF0000CC"/>
      </right>
      <top style="thin">
        <color rgb="FF000000"/>
      </top>
      <bottom style="thick">
        <color rgb="FF0000CC"/>
      </bottom>
      <diagonal/>
    </border>
    <border>
      <left style="thin">
        <color rgb="FFFFFF00"/>
      </left>
      <right/>
      <top style="thin">
        <color rgb="FFFFFF00"/>
      </top>
      <bottom/>
      <diagonal/>
    </border>
    <border>
      <left style="thin">
        <color rgb="FFFFFF00"/>
      </left>
      <right/>
      <top/>
      <bottom/>
      <diagonal/>
    </border>
    <border>
      <left style="thin">
        <color rgb="FFFFFF00"/>
      </left>
      <right/>
      <top/>
      <bottom style="thin">
        <color rgb="FFFFFF00"/>
      </bottom>
      <diagonal/>
    </border>
    <border>
      <left/>
      <right/>
      <top/>
      <bottom style="thin">
        <color rgb="FFFFFF00"/>
      </bottom>
      <diagonal/>
    </border>
    <border>
      <left/>
      <right/>
      <top style="thin">
        <color rgb="FF666666"/>
      </top>
      <bottom/>
      <diagonal/>
    </border>
    <border>
      <left style="medium">
        <color rgb="FFAAAAAA"/>
      </left>
      <right style="medium">
        <color rgb="FF000000"/>
      </right>
      <top style="medium">
        <color rgb="FFAAAAAA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ck">
        <color rgb="FF00B0F0"/>
      </top>
      <bottom/>
      <diagonal/>
    </border>
    <border>
      <left/>
      <right/>
      <top/>
      <bottom style="thick">
        <color rgb="FF00B0F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932">
    <xf numFmtId="0" fontId="0" fillId="0" borderId="0" xfId="0"/>
    <xf numFmtId="0" fontId="3" fillId="0" borderId="5" xfId="0" applyFont="1" applyBorder="1"/>
    <xf numFmtId="0" fontId="8" fillId="4" borderId="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4" fontId="8" fillId="4" borderId="5" xfId="0" applyNumberFormat="1" applyFont="1" applyFill="1" applyBorder="1" applyAlignment="1">
      <alignment horizontal="center" vertical="center" wrapText="1"/>
    </xf>
    <xf numFmtId="164" fontId="8" fillId="5" borderId="5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0" fillId="5" borderId="5" xfId="0" applyFont="1" applyFill="1" applyBorder="1" applyAlignment="1">
      <alignment horizontal="right"/>
    </xf>
    <xf numFmtId="1" fontId="10" fillId="0" borderId="5" xfId="0" applyNumberFormat="1" applyFont="1" applyBorder="1" applyAlignment="1">
      <alignment horizontal="right"/>
    </xf>
    <xf numFmtId="1" fontId="11" fillId="0" borderId="5" xfId="0" applyNumberFormat="1" applyFont="1" applyBorder="1" applyAlignment="1">
      <alignment horizontal="right"/>
    </xf>
    <xf numFmtId="0" fontId="8" fillId="4" borderId="5" xfId="0" applyFont="1" applyFill="1" applyBorder="1" applyAlignment="1">
      <alignment horizontal="center" vertical="center" wrapText="1" shrinkToFit="1"/>
    </xf>
    <xf numFmtId="2" fontId="8" fillId="4" borderId="5" xfId="0" applyNumberFormat="1" applyFont="1" applyFill="1" applyBorder="1" applyAlignment="1">
      <alignment horizontal="center" vertical="center" wrapText="1"/>
    </xf>
    <xf numFmtId="0" fontId="4" fillId="0" borderId="5" xfId="0" applyFont="1" applyBorder="1"/>
    <xf numFmtId="0" fontId="5" fillId="0" borderId="5" xfId="0" applyFont="1" applyBorder="1"/>
    <xf numFmtId="0" fontId="3" fillId="2" borderId="5" xfId="0" applyFont="1" applyFill="1" applyBorder="1"/>
    <xf numFmtId="0" fontId="6" fillId="0" borderId="5" xfId="0" applyFont="1" applyBorder="1" applyAlignment="1">
      <alignment horizontal="left"/>
    </xf>
    <xf numFmtId="0" fontId="7" fillId="3" borderId="5" xfId="0" applyFont="1" applyFill="1" applyBorder="1"/>
    <xf numFmtId="0" fontId="9" fillId="0" borderId="5" xfId="0" applyFont="1" applyBorder="1" applyAlignment="1">
      <alignment vertical="center" wrapText="1"/>
    </xf>
    <xf numFmtId="2" fontId="12" fillId="0" borderId="0" xfId="0" applyNumberFormat="1" applyFont="1" applyProtection="1">
      <protection locked="0"/>
    </xf>
    <xf numFmtId="2" fontId="12" fillId="6" borderId="0" xfId="0" applyNumberFormat="1" applyFont="1" applyFill="1"/>
    <xf numFmtId="2" fontId="13" fillId="6" borderId="0" xfId="0" applyNumberFormat="1" applyFont="1" applyFill="1" applyAlignment="1">
      <alignment horizontal="center"/>
    </xf>
    <xf numFmtId="17" fontId="14" fillId="6" borderId="0" xfId="0" applyNumberFormat="1" applyFont="1" applyFill="1" applyAlignment="1">
      <alignment horizontal="center"/>
    </xf>
    <xf numFmtId="10" fontId="13" fillId="6" borderId="0" xfId="1" applyNumberFormat="1" applyFont="1" applyFill="1" applyAlignment="1">
      <alignment horizontal="center"/>
    </xf>
    <xf numFmtId="2" fontId="15" fillId="7" borderId="4" xfId="0" applyNumberFormat="1" applyFont="1" applyFill="1" applyBorder="1" applyAlignment="1">
      <alignment horizontal="left"/>
    </xf>
    <xf numFmtId="2" fontId="17" fillId="7" borderId="4" xfId="0" applyNumberFormat="1" applyFont="1" applyFill="1" applyBorder="1" applyAlignment="1">
      <alignment horizontal="left"/>
    </xf>
    <xf numFmtId="2" fontId="18" fillId="0" borderId="4" xfId="0" applyNumberFormat="1" applyFont="1" applyBorder="1" applyAlignment="1">
      <alignment horizontal="left"/>
    </xf>
    <xf numFmtId="2" fontId="10" fillId="8" borderId="4" xfId="0" applyNumberFormat="1" applyFont="1" applyFill="1" applyBorder="1" applyAlignment="1">
      <alignment horizontal="left"/>
    </xf>
    <xf numFmtId="2" fontId="10" fillId="8" borderId="2" xfId="0" applyNumberFormat="1" applyFont="1" applyFill="1" applyBorder="1" applyAlignment="1">
      <alignment horizontal="left"/>
    </xf>
    <xf numFmtId="2" fontId="10" fillId="8" borderId="0" xfId="0" applyNumberFormat="1" applyFont="1" applyFill="1" applyAlignment="1">
      <alignment horizontal="left"/>
    </xf>
    <xf numFmtId="9" fontId="10" fillId="0" borderId="0" xfId="1" applyFont="1" applyAlignment="1"/>
    <xf numFmtId="2" fontId="10" fillId="0" borderId="0" xfId="0" applyNumberFormat="1" applyFont="1"/>
    <xf numFmtId="2" fontId="19" fillId="9" borderId="0" xfId="0" applyNumberFormat="1" applyFont="1" applyFill="1" applyAlignment="1">
      <alignment vertical="center"/>
    </xf>
    <xf numFmtId="2" fontId="20" fillId="9" borderId="0" xfId="0" applyNumberFormat="1" applyFont="1" applyFill="1" applyAlignment="1">
      <alignment vertical="center"/>
    </xf>
    <xf numFmtId="2" fontId="21" fillId="9" borderId="0" xfId="0" applyNumberFormat="1" applyFont="1" applyFill="1" applyAlignment="1">
      <alignment vertical="center"/>
    </xf>
    <xf numFmtId="2" fontId="21" fillId="0" borderId="0" xfId="0" applyNumberFormat="1" applyFont="1" applyAlignment="1">
      <alignment vertical="center"/>
    </xf>
    <xf numFmtId="2" fontId="24" fillId="0" borderId="0" xfId="0" applyNumberFormat="1" applyFont="1"/>
    <xf numFmtId="2" fontId="0" fillId="0" borderId="0" xfId="0" applyNumberFormat="1"/>
    <xf numFmtId="1" fontId="12" fillId="0" borderId="0" xfId="0" applyNumberFormat="1" applyFont="1" applyAlignment="1">
      <alignment horizontal="right"/>
    </xf>
    <xf numFmtId="1" fontId="12" fillId="0" borderId="0" xfId="0" applyNumberFormat="1" applyFont="1"/>
    <xf numFmtId="2" fontId="25" fillId="11" borderId="0" xfId="0" applyNumberFormat="1" applyFont="1" applyFill="1" applyAlignment="1" applyProtection="1">
      <alignment vertical="center"/>
      <protection locked="0"/>
    </xf>
    <xf numFmtId="2" fontId="26" fillId="11" borderId="0" xfId="0" applyNumberFormat="1" applyFont="1" applyFill="1" applyAlignment="1">
      <alignment vertical="center"/>
    </xf>
    <xf numFmtId="2" fontId="27" fillId="11" borderId="0" xfId="0" applyNumberFormat="1" applyFont="1" applyFill="1" applyAlignment="1">
      <alignment vertical="center"/>
    </xf>
    <xf numFmtId="3" fontId="26" fillId="11" borderId="0" xfId="0" applyNumberFormat="1" applyFont="1" applyFill="1" applyAlignment="1">
      <alignment vertical="center"/>
    </xf>
    <xf numFmtId="2" fontId="27" fillId="11" borderId="0" xfId="0" applyNumberFormat="1" applyFont="1" applyFill="1"/>
    <xf numFmtId="2" fontId="10" fillId="12" borderId="0" xfId="0" applyNumberFormat="1" applyFont="1" applyFill="1"/>
    <xf numFmtId="2" fontId="14" fillId="13" borderId="0" xfId="0" applyNumberFormat="1" applyFont="1" applyFill="1" applyProtection="1">
      <protection locked="0"/>
    </xf>
    <xf numFmtId="2" fontId="3" fillId="0" borderId="0" xfId="0" applyNumberFormat="1" applyFont="1"/>
    <xf numFmtId="9" fontId="14" fillId="0" borderId="0" xfId="1" applyFont="1" applyAlignment="1" applyProtection="1">
      <protection locked="0"/>
    </xf>
    <xf numFmtId="2" fontId="29" fillId="0" borderId="0" xfId="0" applyNumberFormat="1" applyFont="1"/>
    <xf numFmtId="2" fontId="14" fillId="0" borderId="0" xfId="0" applyNumberFormat="1" applyFont="1"/>
    <xf numFmtId="2" fontId="19" fillId="0" borderId="0" xfId="0" applyNumberFormat="1" applyFont="1"/>
    <xf numFmtId="2" fontId="20" fillId="0" borderId="0" xfId="0" applyNumberFormat="1" applyFont="1"/>
    <xf numFmtId="2" fontId="30" fillId="11" borderId="0" xfId="0" applyNumberFormat="1" applyFont="1" applyFill="1"/>
    <xf numFmtId="2" fontId="32" fillId="0" borderId="0" xfId="0" applyNumberFormat="1" applyFont="1"/>
    <xf numFmtId="2" fontId="20" fillId="14" borderId="0" xfId="0" applyNumberFormat="1" applyFont="1" applyFill="1"/>
    <xf numFmtId="2" fontId="12" fillId="14" borderId="0" xfId="0" applyNumberFormat="1" applyFont="1" applyFill="1"/>
    <xf numFmtId="2" fontId="3" fillId="0" borderId="0" xfId="0" applyNumberFormat="1" applyFont="1" applyProtection="1">
      <protection locked="0"/>
    </xf>
    <xf numFmtId="10" fontId="33" fillId="15" borderId="0" xfId="1" applyNumberFormat="1" applyFont="1" applyFill="1" applyAlignment="1"/>
    <xf numFmtId="2" fontId="10" fillId="14" borderId="0" xfId="0" applyNumberFormat="1" applyFont="1" applyFill="1"/>
    <xf numFmtId="2" fontId="19" fillId="5" borderId="0" xfId="0" applyNumberFormat="1" applyFont="1" applyFill="1"/>
    <xf numFmtId="2" fontId="20" fillId="5" borderId="0" xfId="0" applyNumberFormat="1" applyFont="1" applyFill="1"/>
    <xf numFmtId="10" fontId="10" fillId="0" borderId="0" xfId="1" applyNumberFormat="1" applyFont="1" applyAlignment="1"/>
    <xf numFmtId="2" fontId="3" fillId="16" borderId="0" xfId="0" applyNumberFormat="1" applyFont="1" applyFill="1"/>
    <xf numFmtId="2" fontId="10" fillId="16" borderId="0" xfId="0" applyNumberFormat="1" applyFont="1" applyFill="1"/>
    <xf numFmtId="9" fontId="7" fillId="0" borderId="0" xfId="1" applyFont="1" applyFill="1" applyBorder="1" applyAlignment="1">
      <alignment horizontal="right"/>
    </xf>
    <xf numFmtId="1" fontId="13" fillId="0" borderId="0" xfId="0" applyNumberFormat="1" applyFont="1" applyAlignment="1">
      <alignment horizontal="center"/>
    </xf>
    <xf numFmtId="0" fontId="1" fillId="0" borderId="0" xfId="0" applyFont="1" applyAlignment="1">
      <alignment vertical="center"/>
    </xf>
    <xf numFmtId="2" fontId="3" fillId="17" borderId="9" xfId="0" applyNumberFormat="1" applyFont="1" applyFill="1" applyBorder="1" applyAlignment="1">
      <alignment horizontal="left"/>
    </xf>
    <xf numFmtId="2" fontId="3" fillId="17" borderId="10" xfId="0" applyNumberFormat="1" applyFont="1" applyFill="1" applyBorder="1" applyAlignment="1">
      <alignment horizontal="left"/>
    </xf>
    <xf numFmtId="2" fontId="13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right"/>
    </xf>
    <xf numFmtId="2" fontId="3" fillId="17" borderId="1" xfId="0" applyNumberFormat="1" applyFont="1" applyFill="1" applyBorder="1" applyAlignment="1">
      <alignment horizontal="center"/>
    </xf>
    <xf numFmtId="2" fontId="3" fillId="17" borderId="6" xfId="0" applyNumberFormat="1" applyFont="1" applyFill="1" applyBorder="1" applyAlignment="1">
      <alignment horizontal="center"/>
    </xf>
    <xf numFmtId="2" fontId="7" fillId="0" borderId="0" xfId="0" applyNumberFormat="1" applyFont="1"/>
    <xf numFmtId="2" fontId="12" fillId="0" borderId="11" xfId="0" applyNumberFormat="1" applyFont="1" applyBorder="1" applyAlignment="1">
      <alignment horizontal="center"/>
    </xf>
    <xf numFmtId="2" fontId="10" fillId="0" borderId="8" xfId="0" applyNumberFormat="1" applyFont="1" applyBorder="1"/>
    <xf numFmtId="2" fontId="10" fillId="0" borderId="10" xfId="0" applyNumberFormat="1" applyFont="1" applyBorder="1"/>
    <xf numFmtId="2" fontId="36" fillId="0" borderId="10" xfId="0" applyNumberFormat="1" applyFont="1" applyBorder="1"/>
    <xf numFmtId="2" fontId="21" fillId="0" borderId="10" xfId="0" applyNumberFormat="1" applyFont="1" applyBorder="1"/>
    <xf numFmtId="2" fontId="12" fillId="0" borderId="0" xfId="0" applyNumberFormat="1" applyFont="1" applyAlignment="1">
      <alignment horizontal="center"/>
    </xf>
    <xf numFmtId="1" fontId="12" fillId="0" borderId="0" xfId="0" applyNumberFormat="1" applyFont="1" applyAlignment="1">
      <alignment horizontal="center"/>
    </xf>
    <xf numFmtId="2" fontId="3" fillId="18" borderId="1" xfId="0" applyNumberFormat="1" applyFont="1" applyFill="1" applyBorder="1" applyAlignment="1">
      <alignment horizontal="right"/>
    </xf>
    <xf numFmtId="2" fontId="3" fillId="18" borderId="10" xfId="0" applyNumberFormat="1" applyFont="1" applyFill="1" applyBorder="1" applyAlignment="1">
      <alignment horizontal="right"/>
    </xf>
    <xf numFmtId="9" fontId="7" fillId="19" borderId="9" xfId="1" applyFont="1" applyFill="1" applyBorder="1" applyAlignment="1">
      <alignment horizontal="right"/>
    </xf>
    <xf numFmtId="1" fontId="13" fillId="0" borderId="12" xfId="0" applyNumberFormat="1" applyFont="1" applyBorder="1" applyAlignment="1">
      <alignment horizontal="center"/>
    </xf>
    <xf numFmtId="1" fontId="0" fillId="0" borderId="0" xfId="0" applyNumberFormat="1"/>
    <xf numFmtId="1" fontId="12" fillId="0" borderId="10" xfId="0" applyNumberFormat="1" applyFont="1" applyBorder="1" applyAlignment="1">
      <alignment horizontal="right"/>
    </xf>
    <xf numFmtId="2" fontId="3" fillId="18" borderId="2" xfId="0" applyNumberFormat="1" applyFont="1" applyFill="1" applyBorder="1" applyAlignment="1">
      <alignment horizontal="right"/>
    </xf>
    <xf numFmtId="9" fontId="7" fillId="19" borderId="13" xfId="1" applyFont="1" applyFill="1" applyBorder="1" applyAlignment="1">
      <alignment horizontal="right"/>
    </xf>
    <xf numFmtId="9" fontId="7" fillId="8" borderId="13" xfId="1" applyFont="1" applyFill="1" applyBorder="1" applyAlignment="1">
      <alignment horizontal="right"/>
    </xf>
    <xf numFmtId="2" fontId="12" fillId="0" borderId="0" xfId="0" applyNumberFormat="1" applyFont="1"/>
    <xf numFmtId="167" fontId="3" fillId="0" borderId="0" xfId="0" applyNumberFormat="1" applyFont="1"/>
    <xf numFmtId="2" fontId="37" fillId="8" borderId="14" xfId="0" applyNumberFormat="1" applyFont="1" applyFill="1" applyBorder="1"/>
    <xf numFmtId="2" fontId="37" fillId="8" borderId="15" xfId="0" applyNumberFormat="1" applyFont="1" applyFill="1" applyBorder="1"/>
    <xf numFmtId="2" fontId="38" fillId="8" borderId="15" xfId="0" applyNumberFormat="1" applyFont="1" applyFill="1" applyBorder="1"/>
    <xf numFmtId="2" fontId="22" fillId="8" borderId="16" xfId="0" applyNumberFormat="1" applyFont="1" applyFill="1" applyBorder="1"/>
    <xf numFmtId="2" fontId="37" fillId="0" borderId="0" xfId="0" applyNumberFormat="1" applyFont="1"/>
    <xf numFmtId="2" fontId="12" fillId="16" borderId="0" xfId="0" applyNumberFormat="1" applyFont="1" applyFill="1"/>
    <xf numFmtId="2" fontId="37" fillId="8" borderId="17" xfId="0" applyNumberFormat="1" applyFont="1" applyFill="1" applyBorder="1"/>
    <xf numFmtId="2" fontId="39" fillId="0" borderId="0" xfId="0" applyNumberFormat="1" applyFont="1" applyAlignment="1">
      <alignment horizontal="right"/>
    </xf>
    <xf numFmtId="2" fontId="37" fillId="0" borderId="0" xfId="0" applyNumberFormat="1" applyFont="1" applyAlignment="1">
      <alignment horizontal="center"/>
    </xf>
    <xf numFmtId="2" fontId="40" fillId="8" borderId="18" xfId="0" applyNumberFormat="1" applyFont="1" applyFill="1" applyBorder="1"/>
    <xf numFmtId="2" fontId="41" fillId="0" borderId="0" xfId="0" applyNumberFormat="1" applyFont="1"/>
    <xf numFmtId="2" fontId="40" fillId="8" borderId="0" xfId="0" applyNumberFormat="1" applyFont="1" applyFill="1"/>
    <xf numFmtId="2" fontId="41" fillId="0" borderId="0" xfId="0" applyNumberFormat="1" applyFont="1" applyAlignment="1">
      <alignment horizontal="right"/>
    </xf>
    <xf numFmtId="2" fontId="28" fillId="16" borderId="0" xfId="0" applyNumberFormat="1" applyFont="1" applyFill="1"/>
    <xf numFmtId="2" fontId="28" fillId="0" borderId="0" xfId="0" applyNumberFormat="1" applyFont="1"/>
    <xf numFmtId="2" fontId="38" fillId="8" borderId="17" xfId="0" applyNumberFormat="1" applyFont="1" applyFill="1" applyBorder="1"/>
    <xf numFmtId="2" fontId="42" fillId="8" borderId="18" xfId="0" applyNumberFormat="1" applyFont="1" applyFill="1" applyBorder="1"/>
    <xf numFmtId="2" fontId="42" fillId="8" borderId="0" xfId="0" applyNumberFormat="1" applyFont="1" applyFill="1"/>
    <xf numFmtId="2" fontId="37" fillId="0" borderId="3" xfId="0" applyNumberFormat="1" applyFont="1" applyBorder="1"/>
    <xf numFmtId="2" fontId="39" fillId="0" borderId="19" xfId="0" applyNumberFormat="1" applyFont="1" applyBorder="1" applyAlignment="1">
      <alignment horizontal="right"/>
    </xf>
    <xf numFmtId="2" fontId="10" fillId="3" borderId="0" xfId="0" applyNumberFormat="1" applyFont="1" applyFill="1"/>
    <xf numFmtId="2" fontId="41" fillId="0" borderId="0" xfId="0" applyNumberFormat="1" applyFont="1" applyAlignment="1">
      <alignment horizontal="center"/>
    </xf>
    <xf numFmtId="2" fontId="43" fillId="16" borderId="0" xfId="0" applyNumberFormat="1" applyFont="1" applyFill="1"/>
    <xf numFmtId="2" fontId="43" fillId="0" borderId="0" xfId="0" applyNumberFormat="1" applyFont="1"/>
    <xf numFmtId="2" fontId="10" fillId="8" borderId="20" xfId="0" applyNumberFormat="1" applyFont="1" applyFill="1" applyBorder="1"/>
    <xf numFmtId="2" fontId="10" fillId="8" borderId="21" xfId="0" applyNumberFormat="1" applyFont="1" applyFill="1" applyBorder="1"/>
    <xf numFmtId="2" fontId="3" fillId="8" borderId="21" xfId="0" applyNumberFormat="1" applyFont="1" applyFill="1" applyBorder="1"/>
    <xf numFmtId="2" fontId="10" fillId="8" borderId="22" xfId="0" applyNumberFormat="1" applyFont="1" applyFill="1" applyBorder="1"/>
    <xf numFmtId="2" fontId="42" fillId="0" borderId="23" xfId="0" applyNumberFormat="1" applyFont="1" applyBorder="1"/>
    <xf numFmtId="2" fontId="44" fillId="20" borderId="24" xfId="0" applyNumberFormat="1" applyFont="1" applyFill="1" applyBorder="1"/>
    <xf numFmtId="2" fontId="44" fillId="3" borderId="25" xfId="0" applyNumberFormat="1" applyFont="1" applyFill="1" applyBorder="1"/>
    <xf numFmtId="2" fontId="3" fillId="3" borderId="0" xfId="0" applyNumberFormat="1" applyFont="1" applyFill="1"/>
    <xf numFmtId="2" fontId="3" fillId="3" borderId="27" xfId="0" applyNumberFormat="1" applyFont="1" applyFill="1" applyBorder="1"/>
    <xf numFmtId="2" fontId="42" fillId="0" borderId="0" xfId="0" applyNumberFormat="1" applyFont="1"/>
    <xf numFmtId="2" fontId="10" fillId="16" borderId="26" xfId="0" applyNumberFormat="1" applyFont="1" applyFill="1" applyBorder="1"/>
    <xf numFmtId="168" fontId="45" fillId="0" borderId="0" xfId="0" applyNumberFormat="1" applyFont="1"/>
    <xf numFmtId="169" fontId="10" fillId="0" borderId="0" xfId="0" applyNumberFormat="1" applyFont="1"/>
    <xf numFmtId="2" fontId="10" fillId="0" borderId="27" xfId="0" applyNumberFormat="1" applyFont="1" applyBorder="1"/>
    <xf numFmtId="170" fontId="10" fillId="0" borderId="0" xfId="0" applyNumberFormat="1" applyFont="1"/>
    <xf numFmtId="167" fontId="46" fillId="0" borderId="0" xfId="0" applyNumberFormat="1" applyFont="1"/>
    <xf numFmtId="167" fontId="10" fillId="0" borderId="0" xfId="0" applyNumberFormat="1" applyFont="1"/>
    <xf numFmtId="2" fontId="47" fillId="0" borderId="10" xfId="0" applyNumberFormat="1" applyFont="1" applyBorder="1"/>
    <xf numFmtId="2" fontId="49" fillId="0" borderId="0" xfId="0" applyNumberFormat="1" applyFont="1"/>
    <xf numFmtId="169" fontId="10" fillId="0" borderId="0" xfId="0" applyNumberFormat="1" applyFont="1" applyAlignment="1">
      <alignment horizontal="right"/>
    </xf>
    <xf numFmtId="169" fontId="0" fillId="0" borderId="0" xfId="0" applyNumberFormat="1"/>
    <xf numFmtId="2" fontId="10" fillId="21" borderId="0" xfId="0" applyNumberFormat="1" applyFont="1" applyFill="1"/>
    <xf numFmtId="170" fontId="21" fillId="0" borderId="0" xfId="0" applyNumberFormat="1" applyFont="1" applyAlignment="1">
      <alignment horizontal="right"/>
    </xf>
    <xf numFmtId="2" fontId="21" fillId="0" borderId="0" xfId="0" applyNumberFormat="1" applyFont="1"/>
    <xf numFmtId="171" fontId="10" fillId="0" borderId="0" xfId="0" applyNumberFormat="1" applyFont="1"/>
    <xf numFmtId="2" fontId="46" fillId="22" borderId="0" xfId="0" applyNumberFormat="1" applyFont="1" applyFill="1"/>
    <xf numFmtId="2" fontId="50" fillId="0" borderId="0" xfId="0" applyNumberFormat="1" applyFont="1"/>
    <xf numFmtId="169" fontId="10" fillId="0" borderId="0" xfId="1" applyNumberFormat="1" applyFont="1" applyAlignment="1"/>
    <xf numFmtId="2" fontId="21" fillId="0" borderId="0" xfId="0" applyNumberFormat="1" applyFont="1" applyAlignment="1">
      <alignment horizontal="right"/>
    </xf>
    <xf numFmtId="2" fontId="51" fillId="0" borderId="29" xfId="0" applyNumberFormat="1" applyFont="1" applyBorder="1" applyAlignment="1">
      <alignment vertical="center"/>
    </xf>
    <xf numFmtId="172" fontId="10" fillId="0" borderId="0" xfId="1" applyNumberFormat="1" applyFont="1" applyAlignment="1"/>
    <xf numFmtId="2" fontId="51" fillId="0" borderId="0" xfId="0" applyNumberFormat="1" applyFont="1" applyAlignment="1">
      <alignment horizontal="center"/>
    </xf>
    <xf numFmtId="2" fontId="10" fillId="8" borderId="0" xfId="0" applyNumberFormat="1" applyFont="1" applyFill="1"/>
    <xf numFmtId="2" fontId="51" fillId="0" borderId="30" xfId="0" applyNumberFormat="1" applyFont="1" applyBorder="1" applyAlignment="1">
      <alignment vertical="center"/>
    </xf>
    <xf numFmtId="2" fontId="13" fillId="0" borderId="0" xfId="0" applyNumberFormat="1" applyFont="1" applyAlignment="1">
      <alignment horizontal="left"/>
    </xf>
    <xf numFmtId="166" fontId="51" fillId="0" borderId="0" xfId="1" applyNumberFormat="1" applyFont="1" applyAlignment="1">
      <alignment horizontal="center"/>
    </xf>
    <xf numFmtId="2" fontId="10" fillId="22" borderId="0" xfId="0" applyNumberFormat="1" applyFont="1" applyFill="1"/>
    <xf numFmtId="2" fontId="52" fillId="23" borderId="31" xfId="0" applyNumberFormat="1" applyFont="1" applyFill="1" applyBorder="1"/>
    <xf numFmtId="169" fontId="53" fillId="23" borderId="31" xfId="1" applyNumberFormat="1" applyFont="1" applyFill="1" applyBorder="1" applyAlignment="1"/>
    <xf numFmtId="2" fontId="52" fillId="23" borderId="0" xfId="0" applyNumberFormat="1" applyFont="1" applyFill="1"/>
    <xf numFmtId="169" fontId="53" fillId="23" borderId="0" xfId="1" applyNumberFormat="1" applyFont="1" applyFill="1" applyAlignment="1"/>
    <xf numFmtId="173" fontId="51" fillId="0" borderId="0" xfId="1" applyNumberFormat="1" applyFont="1" applyAlignment="1">
      <alignment horizontal="center"/>
    </xf>
    <xf numFmtId="2" fontId="54" fillId="0" borderId="0" xfId="0" applyNumberFormat="1" applyFont="1"/>
    <xf numFmtId="2" fontId="55" fillId="0" borderId="0" xfId="0" applyNumberFormat="1" applyFont="1"/>
    <xf numFmtId="2" fontId="56" fillId="0" borderId="0" xfId="0" applyNumberFormat="1" applyFont="1"/>
    <xf numFmtId="2" fontId="57" fillId="0" borderId="0" xfId="0" applyNumberFormat="1" applyFont="1"/>
    <xf numFmtId="2" fontId="3" fillId="0" borderId="8" xfId="0" applyNumberFormat="1" applyFont="1" applyBorder="1"/>
    <xf numFmtId="2" fontId="3" fillId="0" borderId="10" xfId="0" applyNumberFormat="1" applyFont="1" applyBorder="1"/>
    <xf numFmtId="2" fontId="3" fillId="0" borderId="28" xfId="0" applyNumberFormat="1" applyFont="1" applyBorder="1"/>
    <xf numFmtId="2" fontId="3" fillId="0" borderId="5" xfId="0" applyNumberFormat="1" applyFont="1" applyBorder="1"/>
    <xf numFmtId="2" fontId="58" fillId="24" borderId="0" xfId="0" applyNumberFormat="1" applyFont="1" applyFill="1"/>
    <xf numFmtId="1" fontId="13" fillId="0" borderId="0" xfId="0" applyNumberFormat="1" applyFont="1"/>
    <xf numFmtId="1" fontId="5" fillId="0" borderId="7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right"/>
    </xf>
    <xf numFmtId="2" fontId="10" fillId="0" borderId="7" xfId="0" applyNumberFormat="1" applyFont="1" applyBorder="1" applyAlignment="1">
      <alignment horizontal="right"/>
    </xf>
    <xf numFmtId="2" fontId="3" fillId="0" borderId="0" xfId="0" applyNumberFormat="1" applyFont="1" applyAlignment="1">
      <alignment horizontal="right"/>
    </xf>
    <xf numFmtId="2" fontId="3" fillId="0" borderId="5" xfId="0" applyNumberFormat="1" applyFont="1" applyBorder="1" applyAlignment="1">
      <alignment horizontal="center"/>
    </xf>
    <xf numFmtId="1" fontId="45" fillId="24" borderId="0" xfId="0" applyNumberFormat="1" applyFont="1" applyFill="1"/>
    <xf numFmtId="2" fontId="46" fillId="0" borderId="8" xfId="0" applyNumberFormat="1" applyFont="1" applyBorder="1"/>
    <xf numFmtId="2" fontId="10" fillId="0" borderId="28" xfId="0" applyNumberFormat="1" applyFont="1" applyBorder="1"/>
    <xf numFmtId="2" fontId="45" fillId="0" borderId="9" xfId="0" applyNumberFormat="1" applyFont="1" applyBorder="1"/>
    <xf numFmtId="2" fontId="10" fillId="0" borderId="4" xfId="0" applyNumberFormat="1" applyFont="1" applyBorder="1"/>
    <xf numFmtId="1" fontId="59" fillId="0" borderId="32" xfId="0" applyNumberFormat="1" applyFont="1" applyBorder="1" applyProtection="1">
      <protection locked="0"/>
    </xf>
    <xf numFmtId="2" fontId="7" fillId="0" borderId="33" xfId="0" applyNumberFormat="1" applyFont="1" applyBorder="1" applyProtection="1">
      <protection locked="0"/>
    </xf>
    <xf numFmtId="9" fontId="3" fillId="0" borderId="34" xfId="1" applyFont="1" applyBorder="1" applyAlignment="1" applyProtection="1">
      <alignment horizontal="center"/>
      <protection locked="0"/>
    </xf>
    <xf numFmtId="2" fontId="10" fillId="0" borderId="35" xfId="0" applyNumberFormat="1" applyFont="1" applyBorder="1" applyProtection="1">
      <protection locked="0"/>
    </xf>
    <xf numFmtId="2" fontId="10" fillId="0" borderId="0" xfId="0" applyNumberFormat="1" applyFont="1" applyProtection="1">
      <protection locked="0"/>
    </xf>
    <xf numFmtId="2" fontId="60" fillId="0" borderId="0" xfId="0" applyNumberFormat="1" applyFont="1"/>
    <xf numFmtId="17" fontId="61" fillId="0" borderId="36" xfId="0" applyNumberFormat="1" applyFont="1" applyBorder="1" applyAlignment="1" applyProtection="1">
      <alignment horizontal="center"/>
      <protection locked="0"/>
    </xf>
    <xf numFmtId="17" fontId="61" fillId="0" borderId="5" xfId="0" applyNumberFormat="1" applyFont="1" applyBorder="1" applyAlignment="1" applyProtection="1">
      <alignment horizontal="center"/>
      <protection locked="0"/>
    </xf>
    <xf numFmtId="17" fontId="61" fillId="0" borderId="0" xfId="0" applyNumberFormat="1" applyFont="1" applyAlignment="1" applyProtection="1">
      <alignment horizontal="center"/>
      <protection locked="0"/>
    </xf>
    <xf numFmtId="2" fontId="60" fillId="0" borderId="0" xfId="0" applyNumberFormat="1" applyFont="1" applyProtection="1">
      <protection locked="0"/>
    </xf>
    <xf numFmtId="2" fontId="62" fillId="0" borderId="0" xfId="0" applyNumberFormat="1" applyFont="1"/>
    <xf numFmtId="2" fontId="10" fillId="0" borderId="37" xfId="0" applyNumberFormat="1" applyFont="1" applyBorder="1"/>
    <xf numFmtId="2" fontId="0" fillId="0" borderId="38" xfId="0" applyNumberFormat="1" applyBorder="1"/>
    <xf numFmtId="3" fontId="45" fillId="0" borderId="36" xfId="0" applyNumberFormat="1" applyFont="1" applyBorder="1" applyProtection="1">
      <protection locked="0"/>
    </xf>
    <xf numFmtId="3" fontId="45" fillId="0" borderId="5" xfId="0" applyNumberFormat="1" applyFont="1" applyBorder="1" applyProtection="1">
      <protection locked="0"/>
    </xf>
    <xf numFmtId="4" fontId="45" fillId="0" borderId="5" xfId="0" applyNumberFormat="1" applyFont="1" applyBorder="1" applyProtection="1">
      <protection locked="0"/>
    </xf>
    <xf numFmtId="4" fontId="45" fillId="0" borderId="0" xfId="0" applyNumberFormat="1" applyFont="1" applyProtection="1">
      <protection locked="0"/>
    </xf>
    <xf numFmtId="1" fontId="63" fillId="0" borderId="41" xfId="0" applyNumberFormat="1" applyFont="1" applyBorder="1" applyAlignment="1" applyProtection="1">
      <alignment horizontal="center"/>
      <protection locked="0"/>
    </xf>
    <xf numFmtId="2" fontId="55" fillId="0" borderId="37" xfId="0" applyNumberFormat="1" applyFont="1" applyBorder="1"/>
    <xf numFmtId="3" fontId="21" fillId="0" borderId="36" xfId="0" applyNumberFormat="1" applyFont="1" applyBorder="1" applyProtection="1">
      <protection locked="0"/>
    </xf>
    <xf numFmtId="3" fontId="21" fillId="0" borderId="5" xfId="1" applyNumberFormat="1" applyFont="1" applyFill="1" applyBorder="1" applyAlignment="1" applyProtection="1">
      <protection locked="0"/>
    </xf>
    <xf numFmtId="3" fontId="21" fillId="0" borderId="0" xfId="1" applyNumberFormat="1" applyFont="1" applyFill="1" applyBorder="1" applyAlignment="1" applyProtection="1">
      <protection locked="0"/>
    </xf>
    <xf numFmtId="1" fontId="14" fillId="0" borderId="43" xfId="0" applyNumberFormat="1" applyFont="1" applyBorder="1" applyAlignment="1" applyProtection="1">
      <alignment horizontal="center"/>
      <protection locked="0"/>
    </xf>
    <xf numFmtId="2" fontId="21" fillId="0" borderId="36" xfId="0" applyNumberFormat="1" applyFont="1" applyBorder="1" applyProtection="1">
      <protection locked="0"/>
    </xf>
    <xf numFmtId="10" fontId="21" fillId="0" borderId="5" xfId="1" applyNumberFormat="1" applyFont="1" applyFill="1" applyBorder="1" applyAlignment="1" applyProtection="1">
      <protection locked="0"/>
    </xf>
    <xf numFmtId="10" fontId="21" fillId="0" borderId="0" xfId="1" applyNumberFormat="1" applyFont="1" applyFill="1" applyBorder="1" applyAlignment="1" applyProtection="1">
      <protection locked="0"/>
    </xf>
    <xf numFmtId="2" fontId="10" fillId="0" borderId="44" xfId="0" applyNumberFormat="1" applyFont="1" applyBorder="1"/>
    <xf numFmtId="9" fontId="12" fillId="0" borderId="45" xfId="1" applyFont="1" applyBorder="1" applyAlignment="1">
      <alignment horizontal="center"/>
    </xf>
    <xf numFmtId="2" fontId="64" fillId="0" borderId="46" xfId="0" applyNumberFormat="1" applyFont="1" applyBorder="1" applyProtection="1">
      <protection locked="0"/>
    </xf>
    <xf numFmtId="166" fontId="64" fillId="0" borderId="47" xfId="1" applyNumberFormat="1" applyFont="1" applyFill="1" applyBorder="1" applyAlignment="1" applyProtection="1">
      <protection locked="0"/>
    </xf>
    <xf numFmtId="2" fontId="21" fillId="0" borderId="48" xfId="0" applyNumberFormat="1" applyFont="1" applyBorder="1" applyProtection="1">
      <protection locked="0"/>
    </xf>
    <xf numFmtId="1" fontId="13" fillId="25" borderId="49" xfId="0" applyNumberFormat="1" applyFont="1" applyFill="1" applyBorder="1" applyAlignment="1" applyProtection="1">
      <alignment horizontal="center"/>
      <protection locked="0"/>
    </xf>
    <xf numFmtId="2" fontId="12" fillId="3" borderId="50" xfId="0" applyNumberFormat="1" applyFont="1" applyFill="1" applyBorder="1" applyAlignment="1">
      <alignment horizontal="right"/>
    </xf>
    <xf numFmtId="4" fontId="66" fillId="26" borderId="51" xfId="1" applyNumberFormat="1" applyFont="1" applyFill="1" applyBorder="1" applyAlignment="1">
      <alignment horizontal="center"/>
    </xf>
    <xf numFmtId="1" fontId="19" fillId="0" borderId="49" xfId="0" applyNumberFormat="1" applyFont="1" applyBorder="1" applyAlignment="1">
      <alignment horizontal="right"/>
    </xf>
    <xf numFmtId="3" fontId="67" fillId="0" borderId="52" xfId="0" applyNumberFormat="1" applyFont="1" applyBorder="1"/>
    <xf numFmtId="3" fontId="14" fillId="25" borderId="0" xfId="0" applyNumberFormat="1" applyFont="1" applyFill="1" applyAlignment="1" applyProtection="1">
      <alignment horizontal="center"/>
      <protection locked="0"/>
    </xf>
    <xf numFmtId="164" fontId="68" fillId="0" borderId="54" xfId="0" applyNumberFormat="1" applyFont="1" applyBorder="1" applyAlignment="1">
      <alignment horizontal="right"/>
    </xf>
    <xf numFmtId="2" fontId="12" fillId="15" borderId="55" xfId="0" applyNumberFormat="1" applyFont="1" applyFill="1" applyBorder="1" applyAlignment="1">
      <alignment horizontal="right"/>
    </xf>
    <xf numFmtId="2" fontId="13" fillId="0" borderId="56" xfId="0" applyNumberFormat="1" applyFont="1" applyBorder="1"/>
    <xf numFmtId="2" fontId="69" fillId="27" borderId="57" xfId="0" applyNumberFormat="1" applyFont="1" applyFill="1" applyBorder="1"/>
    <xf numFmtId="2" fontId="70" fillId="27" borderId="58" xfId="0" applyNumberFormat="1" applyFont="1" applyFill="1" applyBorder="1"/>
    <xf numFmtId="1" fontId="71" fillId="27" borderId="59" xfId="0" applyNumberFormat="1" applyFont="1" applyFill="1" applyBorder="1" applyProtection="1">
      <protection locked="0"/>
    </xf>
    <xf numFmtId="3" fontId="72" fillId="15" borderId="52" xfId="0" applyNumberFormat="1" applyFont="1" applyFill="1" applyBorder="1"/>
    <xf numFmtId="174" fontId="73" fillId="0" borderId="60" xfId="0" applyNumberFormat="1" applyFont="1" applyBorder="1"/>
    <xf numFmtId="2" fontId="43" fillId="0" borderId="0" xfId="0" applyNumberFormat="1" applyFont="1" applyProtection="1">
      <protection locked="0"/>
    </xf>
    <xf numFmtId="2" fontId="46" fillId="0" borderId="1" xfId="0" applyNumberFormat="1" applyFont="1" applyBorder="1"/>
    <xf numFmtId="2" fontId="46" fillId="0" borderId="6" xfId="0" applyNumberFormat="1" applyFont="1" applyBorder="1"/>
    <xf numFmtId="2" fontId="3" fillId="0" borderId="6" xfId="0" applyNumberFormat="1" applyFont="1" applyBorder="1"/>
    <xf numFmtId="2" fontId="3" fillId="28" borderId="6" xfId="0" applyNumberFormat="1" applyFont="1" applyFill="1" applyBorder="1"/>
    <xf numFmtId="1" fontId="10" fillId="7" borderId="61" xfId="0" applyNumberFormat="1" applyFont="1" applyFill="1" applyBorder="1"/>
    <xf numFmtId="2" fontId="10" fillId="7" borderId="62" xfId="0" applyNumberFormat="1" applyFont="1" applyFill="1" applyBorder="1"/>
    <xf numFmtId="2" fontId="10" fillId="28" borderId="63" xfId="0" applyNumberFormat="1" applyFont="1" applyFill="1" applyBorder="1"/>
    <xf numFmtId="1" fontId="10" fillId="6" borderId="64" xfId="0" applyNumberFormat="1" applyFont="1" applyFill="1" applyBorder="1"/>
    <xf numFmtId="2" fontId="10" fillId="6" borderId="62" xfId="0" applyNumberFormat="1" applyFont="1" applyFill="1" applyBorder="1"/>
    <xf numFmtId="1" fontId="10" fillId="29" borderId="64" xfId="0" applyNumberFormat="1" applyFont="1" applyFill="1" applyBorder="1"/>
    <xf numFmtId="2" fontId="10" fillId="29" borderId="62" xfId="0" applyNumberFormat="1" applyFont="1" applyFill="1" applyBorder="1"/>
    <xf numFmtId="2" fontId="10" fillId="30" borderId="63" xfId="0" applyNumberFormat="1" applyFont="1" applyFill="1" applyBorder="1"/>
    <xf numFmtId="1" fontId="10" fillId="7" borderId="64" xfId="0" applyNumberFormat="1" applyFont="1" applyFill="1" applyBorder="1"/>
    <xf numFmtId="9" fontId="10" fillId="6" borderId="62" xfId="1" applyFont="1" applyFill="1" applyBorder="1"/>
    <xf numFmtId="9" fontId="10" fillId="7" borderId="62" xfId="1" applyFont="1" applyFill="1" applyBorder="1"/>
    <xf numFmtId="2" fontId="74" fillId="8" borderId="63" xfId="0" applyNumberFormat="1" applyFont="1" applyFill="1" applyBorder="1"/>
    <xf numFmtId="2" fontId="74" fillId="28" borderId="63" xfId="0" applyNumberFormat="1" applyFont="1" applyFill="1" applyBorder="1"/>
    <xf numFmtId="9" fontId="13" fillId="7" borderId="62" xfId="0" applyNumberFormat="1" applyFont="1" applyFill="1" applyBorder="1" applyProtection="1">
      <protection locked="0"/>
    </xf>
    <xf numFmtId="2" fontId="43" fillId="0" borderId="65" xfId="0" applyNumberFormat="1" applyFont="1" applyBorder="1"/>
    <xf numFmtId="1" fontId="10" fillId="6" borderId="65" xfId="0" applyNumberFormat="1" applyFont="1" applyFill="1" applyBorder="1"/>
    <xf numFmtId="2" fontId="10" fillId="6" borderId="65" xfId="0" applyNumberFormat="1" applyFont="1" applyFill="1" applyBorder="1"/>
    <xf numFmtId="2" fontId="74" fillId="28" borderId="65" xfId="0" applyNumberFormat="1" applyFont="1" applyFill="1" applyBorder="1"/>
    <xf numFmtId="1" fontId="63" fillId="7" borderId="66" xfId="0" applyNumberFormat="1" applyFont="1" applyFill="1" applyBorder="1" applyProtection="1">
      <protection locked="0"/>
    </xf>
    <xf numFmtId="2" fontId="10" fillId="7" borderId="66" xfId="0" applyNumberFormat="1" applyFont="1" applyFill="1" applyBorder="1"/>
    <xf numFmtId="2" fontId="74" fillId="28" borderId="67" xfId="0" applyNumberFormat="1" applyFont="1" applyFill="1" applyBorder="1"/>
    <xf numFmtId="1" fontId="33" fillId="31" borderId="68" xfId="0" applyNumberFormat="1" applyFont="1" applyFill="1" applyBorder="1" applyAlignment="1">
      <alignment horizontal="right"/>
    </xf>
    <xf numFmtId="1" fontId="63" fillId="31" borderId="68" xfId="0" applyNumberFormat="1" applyFont="1" applyFill="1" applyBorder="1" applyAlignment="1" applyProtection="1">
      <alignment horizontal="right"/>
      <protection locked="0"/>
    </xf>
    <xf numFmtId="2" fontId="75" fillId="31" borderId="68" xfId="0" applyNumberFormat="1" applyFont="1" applyFill="1" applyBorder="1"/>
    <xf numFmtId="2" fontId="75" fillId="32" borderId="5" xfId="0" applyNumberFormat="1" applyFont="1" applyFill="1" applyBorder="1"/>
    <xf numFmtId="2" fontId="75" fillId="31" borderId="5" xfId="0" applyNumberFormat="1" applyFont="1" applyFill="1" applyBorder="1"/>
    <xf numFmtId="1" fontId="10" fillId="6" borderId="61" xfId="0" applyNumberFormat="1" applyFont="1" applyFill="1" applyBorder="1"/>
    <xf numFmtId="1" fontId="10" fillId="6" borderId="66" xfId="0" applyNumberFormat="1" applyFont="1" applyFill="1" applyBorder="1"/>
    <xf numFmtId="2" fontId="10" fillId="6" borderId="66" xfId="0" applyNumberFormat="1" applyFont="1" applyFill="1" applyBorder="1"/>
    <xf numFmtId="2" fontId="13" fillId="7" borderId="62" xfId="0" applyNumberFormat="1" applyFont="1" applyFill="1" applyBorder="1" applyProtection="1">
      <protection locked="0"/>
    </xf>
    <xf numFmtId="2" fontId="45" fillId="6" borderId="62" xfId="0" applyNumberFormat="1" applyFont="1" applyFill="1" applyBorder="1"/>
    <xf numFmtId="2" fontId="76" fillId="28" borderId="63" xfId="0" applyNumberFormat="1" applyFont="1" applyFill="1" applyBorder="1"/>
    <xf numFmtId="1" fontId="63" fillId="7" borderId="62" xfId="0" applyNumberFormat="1" applyFont="1" applyFill="1" applyBorder="1" applyProtection="1">
      <protection locked="0"/>
    </xf>
    <xf numFmtId="1" fontId="63" fillId="6" borderId="62" xfId="0" applyNumberFormat="1" applyFont="1" applyFill="1" applyBorder="1" applyProtection="1">
      <protection locked="0"/>
    </xf>
    <xf numFmtId="2" fontId="3" fillId="0" borderId="68" xfId="0" applyNumberFormat="1" applyFont="1" applyBorder="1" applyAlignment="1">
      <alignment horizontal="right"/>
    </xf>
    <xf numFmtId="1" fontId="13" fillId="0" borderId="68" xfId="0" applyNumberFormat="1" applyFont="1" applyBorder="1" applyAlignment="1">
      <alignment horizontal="right"/>
    </xf>
    <xf numFmtId="2" fontId="77" fillId="11" borderId="68" xfId="0" applyNumberFormat="1" applyFont="1" applyFill="1" applyBorder="1" applyAlignment="1">
      <alignment horizontal="right"/>
    </xf>
    <xf numFmtId="2" fontId="45" fillId="0" borderId="68" xfId="0" applyNumberFormat="1" applyFont="1" applyBorder="1" applyAlignment="1">
      <alignment horizontal="left"/>
    </xf>
    <xf numFmtId="2" fontId="45" fillId="7" borderId="62" xfId="0" applyNumberFormat="1" applyFont="1" applyFill="1" applyBorder="1"/>
    <xf numFmtId="2" fontId="45" fillId="28" borderId="63" xfId="0" applyNumberFormat="1" applyFont="1" applyFill="1" applyBorder="1"/>
    <xf numFmtId="2" fontId="13" fillId="6" borderId="62" xfId="0" applyNumberFormat="1" applyFont="1" applyFill="1" applyBorder="1" applyProtection="1">
      <protection locked="0"/>
    </xf>
    <xf numFmtId="9" fontId="10" fillId="7" borderId="62" xfId="1" applyFont="1" applyFill="1" applyBorder="1" applyAlignment="1">
      <alignment horizontal="right"/>
    </xf>
    <xf numFmtId="10" fontId="10" fillId="7" borderId="62" xfId="0" applyNumberFormat="1" applyFont="1" applyFill="1" applyBorder="1" applyAlignment="1">
      <alignment horizontal="right"/>
    </xf>
    <xf numFmtId="9" fontId="63" fillId="7" borderId="62" xfId="0" applyNumberFormat="1" applyFont="1" applyFill="1" applyBorder="1" applyProtection="1">
      <protection locked="0"/>
    </xf>
    <xf numFmtId="2" fontId="10" fillId="6" borderId="64" xfId="0" applyNumberFormat="1" applyFont="1" applyFill="1" applyBorder="1"/>
    <xf numFmtId="2" fontId="10" fillId="7" borderId="69" xfId="0" applyNumberFormat="1" applyFont="1" applyFill="1" applyBorder="1"/>
    <xf numFmtId="2" fontId="10" fillId="7" borderId="70" xfId="0" applyNumberFormat="1" applyFont="1" applyFill="1" applyBorder="1"/>
    <xf numFmtId="2" fontId="45" fillId="7" borderId="70" xfId="0" applyNumberFormat="1" applyFont="1" applyFill="1" applyBorder="1"/>
    <xf numFmtId="4" fontId="45" fillId="7" borderId="70" xfId="0" applyNumberFormat="1" applyFont="1" applyFill="1" applyBorder="1"/>
    <xf numFmtId="2" fontId="45" fillId="28" borderId="71" xfId="0" applyNumberFormat="1" applyFont="1" applyFill="1" applyBorder="1"/>
    <xf numFmtId="2" fontId="10" fillId="0" borderId="6" xfId="0" applyNumberFormat="1" applyFont="1" applyBorder="1"/>
    <xf numFmtId="2" fontId="10" fillId="28" borderId="0" xfId="0" applyNumberFormat="1" applyFont="1" applyFill="1"/>
    <xf numFmtId="2" fontId="78" fillId="33" borderId="0" xfId="0" applyNumberFormat="1" applyFont="1" applyFill="1"/>
    <xf numFmtId="2" fontId="78" fillId="33" borderId="0" xfId="0" applyNumberFormat="1" applyFont="1" applyFill="1" applyProtection="1">
      <protection locked="0"/>
    </xf>
    <xf numFmtId="2" fontId="79" fillId="33" borderId="63" xfId="0" applyNumberFormat="1" applyFont="1" applyFill="1" applyBorder="1"/>
    <xf numFmtId="4" fontId="79" fillId="33" borderId="71" xfId="0" applyNumberFormat="1" applyFont="1" applyFill="1" applyBorder="1"/>
    <xf numFmtId="2" fontId="12" fillId="0" borderId="5" xfId="0" applyNumberFormat="1" applyFont="1" applyBorder="1"/>
    <xf numFmtId="4" fontId="12" fillId="0" borderId="72" xfId="0" applyNumberFormat="1" applyFont="1" applyBorder="1"/>
    <xf numFmtId="2" fontId="10" fillId="0" borderId="2" xfId="0" applyNumberFormat="1" applyFont="1" applyBorder="1"/>
    <xf numFmtId="2" fontId="20" fillId="0" borderId="0" xfId="0" applyNumberFormat="1" applyFont="1" applyAlignment="1">
      <alignment horizontal="center"/>
    </xf>
    <xf numFmtId="2" fontId="10" fillId="34" borderId="73" xfId="0" applyNumberFormat="1" applyFont="1" applyFill="1" applyBorder="1" applyAlignment="1">
      <alignment horizontal="left"/>
    </xf>
    <xf numFmtId="4" fontId="19" fillId="34" borderId="74" xfId="0" applyNumberFormat="1" applyFont="1" applyFill="1" applyBorder="1" applyAlignment="1">
      <alignment horizontal="left"/>
    </xf>
    <xf numFmtId="2" fontId="10" fillId="34" borderId="75" xfId="0" applyNumberFormat="1" applyFont="1" applyFill="1" applyBorder="1" applyAlignment="1">
      <alignment horizontal="left"/>
    </xf>
    <xf numFmtId="10" fontId="19" fillId="34" borderId="76" xfId="1" applyNumberFormat="1" applyFont="1" applyFill="1" applyBorder="1" applyAlignment="1">
      <alignment horizontal="center"/>
    </xf>
    <xf numFmtId="2" fontId="10" fillId="0" borderId="6" xfId="0" applyNumberFormat="1" applyFont="1" applyBorder="1" applyAlignment="1">
      <alignment horizontal="left"/>
    </xf>
    <xf numFmtId="2" fontId="3" fillId="0" borderId="6" xfId="0" applyNumberFormat="1" applyFont="1" applyBorder="1" applyAlignment="1">
      <alignment horizontal="left"/>
    </xf>
    <xf numFmtId="2" fontId="45" fillId="35" borderId="68" xfId="0" applyNumberFormat="1" applyFont="1" applyFill="1" applyBorder="1"/>
    <xf numFmtId="4" fontId="19" fillId="36" borderId="74" xfId="0" applyNumberFormat="1" applyFont="1" applyFill="1" applyBorder="1" applyAlignment="1">
      <alignment horizontal="left"/>
    </xf>
    <xf numFmtId="10" fontId="12" fillId="35" borderId="68" xfId="1" applyNumberFormat="1" applyFont="1" applyFill="1" applyBorder="1" applyAlignment="1">
      <alignment horizontal="center"/>
    </xf>
    <xf numFmtId="2" fontId="3" fillId="0" borderId="0" xfId="0" applyNumberFormat="1" applyFont="1" applyAlignment="1">
      <alignment horizontal="left"/>
    </xf>
    <xf numFmtId="2" fontId="10" fillId="37" borderId="77" xfId="0" applyNumberFormat="1" applyFont="1" applyFill="1" applyBorder="1" applyAlignment="1">
      <alignment horizontal="left"/>
    </xf>
    <xf numFmtId="4" fontId="12" fillId="37" borderId="78" xfId="0" applyNumberFormat="1" applyFont="1" applyFill="1" applyBorder="1" applyAlignment="1">
      <alignment horizontal="left"/>
    </xf>
    <xf numFmtId="2" fontId="10" fillId="37" borderId="79" xfId="0" applyNumberFormat="1" applyFont="1" applyFill="1" applyBorder="1" applyAlignment="1">
      <alignment horizontal="left"/>
    </xf>
    <xf numFmtId="166" fontId="12" fillId="37" borderId="80" xfId="1" applyNumberFormat="1" applyFont="1" applyFill="1" applyBorder="1" applyAlignment="1">
      <alignment horizontal="center"/>
    </xf>
    <xf numFmtId="2" fontId="10" fillId="38" borderId="81" xfId="0" applyNumberFormat="1" applyFont="1" applyFill="1" applyBorder="1" applyAlignment="1">
      <alignment horizontal="left"/>
    </xf>
    <xf numFmtId="4" fontId="3" fillId="38" borderId="82" xfId="0" applyNumberFormat="1" applyFont="1" applyFill="1" applyBorder="1" applyAlignment="1">
      <alignment horizontal="left"/>
    </xf>
    <xf numFmtId="2" fontId="10" fillId="38" borderId="83" xfId="0" applyNumberFormat="1" applyFont="1" applyFill="1" applyBorder="1" applyAlignment="1">
      <alignment horizontal="left"/>
    </xf>
    <xf numFmtId="10" fontId="12" fillId="38" borderId="84" xfId="1" applyNumberFormat="1" applyFont="1" applyFill="1" applyBorder="1" applyAlignment="1">
      <alignment horizontal="center"/>
    </xf>
    <xf numFmtId="2" fontId="45" fillId="0" borderId="85" xfId="0" applyNumberFormat="1" applyFont="1" applyBorder="1" applyAlignment="1">
      <alignment horizontal="left"/>
    </xf>
    <xf numFmtId="2" fontId="10" fillId="0" borderId="86" xfId="0" applyNumberFormat="1" applyFont="1" applyBorder="1" applyAlignment="1">
      <alignment horizontal="left"/>
    </xf>
    <xf numFmtId="2" fontId="10" fillId="0" borderId="87" xfId="0" applyNumberFormat="1" applyFont="1" applyBorder="1" applyAlignment="1">
      <alignment horizontal="left"/>
    </xf>
    <xf numFmtId="2" fontId="3" fillId="0" borderId="88" xfId="0" applyNumberFormat="1" applyFont="1" applyBorder="1" applyAlignment="1">
      <alignment horizontal="left"/>
    </xf>
    <xf numFmtId="2" fontId="10" fillId="0" borderId="88" xfId="0" applyNumberFormat="1" applyFont="1" applyBorder="1" applyAlignment="1">
      <alignment horizontal="left"/>
    </xf>
    <xf numFmtId="1" fontId="10" fillId="0" borderId="87" xfId="0" applyNumberFormat="1" applyFont="1" applyBorder="1" applyAlignment="1">
      <alignment horizontal="left"/>
    </xf>
    <xf numFmtId="2" fontId="12" fillId="0" borderId="87" xfId="0" applyNumberFormat="1" applyFont="1" applyBorder="1" applyAlignment="1">
      <alignment horizontal="left"/>
    </xf>
    <xf numFmtId="2" fontId="12" fillId="0" borderId="88" xfId="0" applyNumberFormat="1" applyFont="1" applyBorder="1" applyAlignment="1">
      <alignment horizontal="left"/>
    </xf>
    <xf numFmtId="2" fontId="12" fillId="28" borderId="6" xfId="0" applyNumberFormat="1" applyFont="1" applyFill="1" applyBorder="1"/>
    <xf numFmtId="2" fontId="10" fillId="0" borderId="89" xfId="0" applyNumberFormat="1" applyFont="1" applyBorder="1" applyAlignment="1">
      <alignment horizontal="left"/>
    </xf>
    <xf numFmtId="2" fontId="45" fillId="0" borderId="90" xfId="0" applyNumberFormat="1" applyFont="1" applyBorder="1" applyAlignment="1">
      <alignment horizontal="left"/>
    </xf>
    <xf numFmtId="2" fontId="43" fillId="28" borderId="0" xfId="0" applyNumberFormat="1" applyFont="1" applyFill="1"/>
    <xf numFmtId="168" fontId="43" fillId="0" borderId="0" xfId="0" applyNumberFormat="1" applyFont="1"/>
    <xf numFmtId="2" fontId="3" fillId="0" borderId="68" xfId="0" applyNumberFormat="1" applyFont="1" applyBorder="1"/>
    <xf numFmtId="1" fontId="10" fillId="0" borderId="68" xfId="0" applyNumberFormat="1" applyFont="1" applyBorder="1" applyAlignment="1">
      <alignment horizontal="center"/>
    </xf>
    <xf numFmtId="2" fontId="10" fillId="0" borderId="68" xfId="0" applyNumberFormat="1" applyFont="1" applyBorder="1"/>
    <xf numFmtId="2" fontId="80" fillId="0" borderId="68" xfId="0" applyNumberFormat="1" applyFont="1" applyBorder="1" applyAlignment="1">
      <alignment horizontal="left"/>
    </xf>
    <xf numFmtId="2" fontId="10" fillId="0" borderId="68" xfId="0" applyNumberFormat="1" applyFont="1" applyBorder="1" applyAlignment="1">
      <alignment horizontal="left"/>
    </xf>
    <xf numFmtId="2" fontId="80" fillId="8" borderId="68" xfId="0" applyNumberFormat="1" applyFont="1" applyFill="1" applyBorder="1" applyAlignment="1">
      <alignment horizontal="left"/>
    </xf>
    <xf numFmtId="1" fontId="10" fillId="6" borderId="68" xfId="0" applyNumberFormat="1" applyFont="1" applyFill="1" applyBorder="1" applyAlignment="1">
      <alignment horizontal="center"/>
    </xf>
    <xf numFmtId="2" fontId="10" fillId="6" borderId="68" xfId="0" applyNumberFormat="1" applyFont="1" applyFill="1" applyBorder="1"/>
    <xf numFmtId="2" fontId="80" fillId="6" borderId="68" xfId="0" applyNumberFormat="1" applyFont="1" applyFill="1" applyBorder="1" applyAlignment="1">
      <alignment horizontal="left"/>
    </xf>
    <xf numFmtId="2" fontId="10" fillId="6" borderId="68" xfId="0" applyNumberFormat="1" applyFont="1" applyFill="1" applyBorder="1" applyAlignment="1">
      <alignment horizontal="left"/>
    </xf>
    <xf numFmtId="2" fontId="81" fillId="8" borderId="68" xfId="0" applyNumberFormat="1" applyFont="1" applyFill="1" applyBorder="1" applyAlignment="1">
      <alignment horizontal="left"/>
    </xf>
    <xf numFmtId="2" fontId="82" fillId="0" borderId="0" xfId="0" applyNumberFormat="1" applyFont="1"/>
    <xf numFmtId="2" fontId="80" fillId="29" borderId="68" xfId="0" applyNumberFormat="1" applyFont="1" applyFill="1" applyBorder="1" applyAlignment="1">
      <alignment horizontal="left"/>
    </xf>
    <xf numFmtId="2" fontId="10" fillId="30" borderId="68" xfId="0" applyNumberFormat="1" applyFont="1" applyFill="1" applyBorder="1" applyAlignment="1">
      <alignment horizontal="left"/>
    </xf>
    <xf numFmtId="2" fontId="81" fillId="39" borderId="68" xfId="0" applyNumberFormat="1" applyFont="1" applyFill="1" applyBorder="1" applyAlignment="1">
      <alignment horizontal="left"/>
    </xf>
    <xf numFmtId="1" fontId="0" fillId="0" borderId="68" xfId="0" applyNumberFormat="1" applyBorder="1" applyAlignment="1">
      <alignment horizontal="center"/>
    </xf>
    <xf numFmtId="2" fontId="0" fillId="0" borderId="68" xfId="0" applyNumberFormat="1" applyBorder="1"/>
    <xf numFmtId="2" fontId="83" fillId="0" borderId="68" xfId="0" applyNumberFormat="1" applyFont="1" applyBorder="1" applyAlignment="1">
      <alignment horizontal="left"/>
    </xf>
    <xf numFmtId="2" fontId="0" fillId="0" borderId="68" xfId="0" applyNumberFormat="1" applyBorder="1" applyAlignment="1">
      <alignment horizontal="left"/>
    </xf>
    <xf numFmtId="1" fontId="10" fillId="40" borderId="68" xfId="0" applyNumberFormat="1" applyFont="1" applyFill="1" applyBorder="1" applyAlignment="1">
      <alignment horizontal="center"/>
    </xf>
    <xf numFmtId="2" fontId="10" fillId="40" borderId="68" xfId="0" applyNumberFormat="1" applyFont="1" applyFill="1" applyBorder="1"/>
    <xf numFmtId="2" fontId="10" fillId="40" borderId="68" xfId="0" applyNumberFormat="1" applyFont="1" applyFill="1" applyBorder="1" applyAlignment="1">
      <alignment horizontal="left"/>
    </xf>
    <xf numFmtId="2" fontId="23" fillId="8" borderId="68" xfId="0" applyNumberFormat="1" applyFont="1" applyFill="1" applyBorder="1"/>
    <xf numFmtId="2" fontId="10" fillId="6" borderId="68" xfId="0" applyNumberFormat="1" applyFont="1" applyFill="1" applyBorder="1" applyAlignment="1">
      <alignment horizontal="right"/>
    </xf>
    <xf numFmtId="2" fontId="23" fillId="8" borderId="68" xfId="0" applyNumberFormat="1" applyFont="1" applyFill="1" applyBorder="1" applyAlignment="1">
      <alignment horizontal="right"/>
    </xf>
    <xf numFmtId="2" fontId="3" fillId="6" borderId="68" xfId="0" applyNumberFormat="1" applyFont="1" applyFill="1" applyBorder="1" applyAlignment="1">
      <alignment horizontal="left"/>
    </xf>
    <xf numFmtId="2" fontId="13" fillId="13" borderId="68" xfId="0" applyNumberFormat="1" applyFont="1" applyFill="1" applyBorder="1" applyAlignment="1">
      <alignment horizontal="left"/>
    </xf>
    <xf numFmtId="2" fontId="13" fillId="8" borderId="68" xfId="0" applyNumberFormat="1" applyFont="1" applyFill="1" applyBorder="1" applyAlignment="1">
      <alignment horizontal="right"/>
    </xf>
    <xf numFmtId="2" fontId="84" fillId="0" borderId="0" xfId="0" applyNumberFormat="1" applyFont="1"/>
    <xf numFmtId="2" fontId="85" fillId="41" borderId="68" xfId="0" applyNumberFormat="1" applyFont="1" applyFill="1" applyBorder="1"/>
    <xf numFmtId="9" fontId="13" fillId="0" borderId="68" xfId="1" applyFont="1" applyBorder="1" applyAlignment="1">
      <alignment horizontal="right"/>
    </xf>
    <xf numFmtId="2" fontId="3" fillId="0" borderId="68" xfId="0" applyNumberFormat="1" applyFont="1" applyBorder="1" applyAlignment="1">
      <alignment horizontal="left"/>
    </xf>
    <xf numFmtId="2" fontId="86" fillId="6" borderId="68" xfId="0" applyNumberFormat="1" applyFont="1" applyFill="1" applyBorder="1"/>
    <xf numFmtId="2" fontId="86" fillId="6" borderId="68" xfId="0" applyNumberFormat="1" applyFont="1" applyFill="1" applyBorder="1" applyAlignment="1">
      <alignment horizontal="left"/>
    </xf>
    <xf numFmtId="2" fontId="85" fillId="0" borderId="68" xfId="0" applyNumberFormat="1" applyFont="1" applyBorder="1"/>
    <xf numFmtId="2" fontId="87" fillId="0" borderId="0" xfId="0" applyNumberFormat="1" applyFont="1" applyAlignment="1">
      <alignment horizontal="left"/>
    </xf>
    <xf numFmtId="1" fontId="33" fillId="31" borderId="68" xfId="0" applyNumberFormat="1" applyFont="1" applyFill="1" applyBorder="1" applyAlignment="1">
      <alignment horizontal="center"/>
    </xf>
    <xf numFmtId="2" fontId="33" fillId="31" borderId="68" xfId="0" applyNumberFormat="1" applyFont="1" applyFill="1" applyBorder="1"/>
    <xf numFmtId="2" fontId="33" fillId="31" borderId="68" xfId="0" applyNumberFormat="1" applyFont="1" applyFill="1" applyBorder="1" applyAlignment="1">
      <alignment horizontal="left"/>
    </xf>
    <xf numFmtId="2" fontId="10" fillId="31" borderId="68" xfId="0" applyNumberFormat="1" applyFont="1" applyFill="1" applyBorder="1" applyAlignment="1">
      <alignment horizontal="left"/>
    </xf>
    <xf numFmtId="2" fontId="10" fillId="0" borderId="68" xfId="0" applyNumberFormat="1" applyFont="1" applyBorder="1" applyAlignment="1">
      <alignment horizontal="right"/>
    </xf>
    <xf numFmtId="2" fontId="10" fillId="0" borderId="0" xfId="0" applyNumberFormat="1" applyFont="1" applyAlignment="1">
      <alignment horizontal="left"/>
    </xf>
    <xf numFmtId="2" fontId="10" fillId="6" borderId="68" xfId="0" applyNumberFormat="1" applyFont="1" applyFill="1" applyBorder="1" applyAlignment="1">
      <alignment horizontal="center"/>
    </xf>
    <xf numFmtId="2" fontId="5" fillId="6" borderId="68" xfId="0" applyNumberFormat="1" applyFont="1" applyFill="1" applyBorder="1" applyAlignment="1">
      <alignment horizontal="right"/>
    </xf>
    <xf numFmtId="2" fontId="3" fillId="6" borderId="68" xfId="0" applyNumberFormat="1" applyFont="1" applyFill="1" applyBorder="1"/>
    <xf numFmtId="4" fontId="88" fillId="6" borderId="68" xfId="0" applyNumberFormat="1" applyFont="1" applyFill="1" applyBorder="1" applyAlignment="1">
      <alignment horizontal="left"/>
    </xf>
    <xf numFmtId="2" fontId="5" fillId="8" borderId="68" xfId="0" applyNumberFormat="1" applyFont="1" applyFill="1" applyBorder="1"/>
    <xf numFmtId="168" fontId="10" fillId="0" borderId="68" xfId="0" applyNumberFormat="1" applyFont="1" applyBorder="1" applyAlignment="1">
      <alignment horizontal="left"/>
    </xf>
    <xf numFmtId="2" fontId="45" fillId="0" borderId="68" xfId="0" applyNumberFormat="1" applyFont="1" applyBorder="1"/>
    <xf numFmtId="2" fontId="10" fillId="8" borderId="68" xfId="0" applyNumberFormat="1" applyFont="1" applyFill="1" applyBorder="1"/>
    <xf numFmtId="2" fontId="12" fillId="6" borderId="68" xfId="0" applyNumberFormat="1" applyFont="1" applyFill="1" applyBorder="1"/>
    <xf numFmtId="2" fontId="12" fillId="8" borderId="68" xfId="0" applyNumberFormat="1" applyFont="1" applyFill="1" applyBorder="1"/>
    <xf numFmtId="10" fontId="10" fillId="6" borderId="68" xfId="0" applyNumberFormat="1" applyFont="1" applyFill="1" applyBorder="1" applyAlignment="1">
      <alignment horizontal="right"/>
    </xf>
    <xf numFmtId="2" fontId="3" fillId="6" borderId="68" xfId="0" applyNumberFormat="1" applyFont="1" applyFill="1" applyBorder="1" applyAlignment="1">
      <alignment horizontal="center"/>
    </xf>
    <xf numFmtId="2" fontId="0" fillId="6" borderId="68" xfId="0" applyNumberFormat="1" applyFill="1" applyBorder="1" applyAlignment="1">
      <alignment horizontal="right"/>
    </xf>
    <xf numFmtId="2" fontId="0" fillId="0" borderId="0" xfId="0" applyNumberFormat="1" applyAlignment="1">
      <alignment horizontal="right"/>
    </xf>
    <xf numFmtId="2" fontId="82" fillId="0" borderId="0" xfId="0" applyNumberFormat="1" applyFont="1" applyAlignment="1">
      <alignment horizontal="left"/>
    </xf>
    <xf numFmtId="2" fontId="5" fillId="6" borderId="68" xfId="0" applyNumberFormat="1" applyFont="1" applyFill="1" applyBorder="1"/>
    <xf numFmtId="2" fontId="10" fillId="0" borderId="68" xfId="0" applyNumberFormat="1" applyFont="1" applyBorder="1" applyAlignment="1">
      <alignment horizontal="center"/>
    </xf>
    <xf numFmtId="2" fontId="63" fillId="6" borderId="68" xfId="0" applyNumberFormat="1" applyFont="1" applyFill="1" applyBorder="1" applyAlignment="1">
      <alignment horizontal="right"/>
    </xf>
    <xf numFmtId="4" fontId="89" fillId="6" borderId="68" xfId="0" applyNumberFormat="1" applyFont="1" applyFill="1" applyBorder="1" applyAlignment="1">
      <alignment horizontal="right"/>
    </xf>
    <xf numFmtId="2" fontId="89" fillId="0" borderId="0" xfId="0" applyNumberFormat="1" applyFont="1" applyAlignment="1">
      <alignment horizontal="right"/>
    </xf>
    <xf numFmtId="2" fontId="10" fillId="8" borderId="68" xfId="0" applyNumberFormat="1" applyFont="1" applyFill="1" applyBorder="1" applyAlignment="1">
      <alignment horizontal="right"/>
    </xf>
    <xf numFmtId="2" fontId="12" fillId="0" borderId="68" xfId="0" applyNumberFormat="1" applyFont="1" applyBorder="1"/>
    <xf numFmtId="4" fontId="90" fillId="0" borderId="68" xfId="0" applyNumberFormat="1" applyFont="1" applyBorder="1" applyAlignment="1">
      <alignment horizontal="center"/>
    </xf>
    <xf numFmtId="2" fontId="91" fillId="0" borderId="0" xfId="0" applyNumberFormat="1" applyFont="1" applyAlignment="1">
      <alignment horizontal="left"/>
    </xf>
    <xf numFmtId="4" fontId="89" fillId="0" borderId="68" xfId="0" applyNumberFormat="1" applyFont="1" applyBorder="1" applyAlignment="1">
      <alignment horizontal="left"/>
    </xf>
    <xf numFmtId="2" fontId="89" fillId="0" borderId="68" xfId="0" applyNumberFormat="1" applyFont="1" applyBorder="1" applyAlignment="1">
      <alignment horizontal="left"/>
    </xf>
    <xf numFmtId="2" fontId="21" fillId="42" borderId="68" xfId="0" applyNumberFormat="1" applyFont="1" applyFill="1" applyBorder="1"/>
    <xf numFmtId="4" fontId="92" fillId="43" borderId="68" xfId="0" applyNumberFormat="1" applyFont="1" applyFill="1" applyBorder="1" applyAlignment="1">
      <alignment horizontal="left"/>
    </xf>
    <xf numFmtId="2" fontId="92" fillId="0" borderId="0" xfId="0" applyNumberFormat="1" applyFont="1" applyAlignment="1">
      <alignment horizontal="left"/>
    </xf>
    <xf numFmtId="10" fontId="92" fillId="43" borderId="68" xfId="1" applyNumberFormat="1" applyFont="1" applyFill="1" applyBorder="1" applyAlignment="1">
      <alignment horizontal="right"/>
    </xf>
    <xf numFmtId="2" fontId="92" fillId="0" borderId="0" xfId="0" applyNumberFormat="1" applyFont="1" applyAlignment="1">
      <alignment horizontal="right"/>
    </xf>
    <xf numFmtId="2" fontId="45" fillId="0" borderId="0" xfId="0" applyNumberFormat="1" applyFont="1"/>
    <xf numFmtId="2" fontId="21" fillId="0" borderId="68" xfId="0" applyNumberFormat="1" applyFont="1" applyBorder="1"/>
    <xf numFmtId="166" fontId="92" fillId="0" borderId="68" xfId="1" applyNumberFormat="1" applyFont="1" applyFill="1" applyBorder="1" applyAlignment="1">
      <alignment horizontal="right"/>
    </xf>
    <xf numFmtId="4" fontId="92" fillId="35" borderId="68" xfId="1" applyNumberFormat="1" applyFont="1" applyFill="1" applyBorder="1" applyAlignment="1">
      <alignment horizontal="left"/>
    </xf>
    <xf numFmtId="10" fontId="92" fillId="44" borderId="68" xfId="1" applyNumberFormat="1" applyFont="1" applyFill="1" applyBorder="1" applyAlignment="1">
      <alignment horizontal="right"/>
    </xf>
    <xf numFmtId="2" fontId="89" fillId="0" borderId="0" xfId="0" applyNumberFormat="1" applyFont="1" applyAlignment="1">
      <alignment horizontal="left"/>
    </xf>
    <xf numFmtId="2" fontId="21" fillId="45" borderId="68" xfId="0" applyNumberFormat="1" applyFont="1" applyFill="1" applyBorder="1"/>
    <xf numFmtId="4" fontId="92" fillId="45" borderId="68" xfId="0" applyNumberFormat="1" applyFont="1" applyFill="1" applyBorder="1" applyAlignment="1">
      <alignment horizontal="left"/>
    </xf>
    <xf numFmtId="10" fontId="92" fillId="45" borderId="68" xfId="1" applyNumberFormat="1" applyFont="1" applyFill="1" applyBorder="1" applyAlignment="1">
      <alignment horizontal="right"/>
    </xf>
    <xf numFmtId="166" fontId="92" fillId="45" borderId="68" xfId="1" applyNumberFormat="1" applyFont="1" applyFill="1" applyBorder="1" applyAlignment="1">
      <alignment horizontal="right"/>
    </xf>
    <xf numFmtId="2" fontId="89" fillId="0" borderId="68" xfId="0" applyNumberFormat="1" applyFont="1" applyBorder="1" applyAlignment="1">
      <alignment horizontal="right"/>
    </xf>
    <xf numFmtId="2" fontId="93" fillId="0" borderId="0" xfId="0" applyNumberFormat="1" applyFont="1" applyAlignment="1">
      <alignment horizontal="right"/>
    </xf>
    <xf numFmtId="2" fontId="94" fillId="38" borderId="68" xfId="0" applyNumberFormat="1" applyFont="1" applyFill="1" applyBorder="1"/>
    <xf numFmtId="2" fontId="48" fillId="0" borderId="68" xfId="0" applyNumberFormat="1" applyFont="1" applyBorder="1"/>
    <xf numFmtId="4" fontId="95" fillId="38" borderId="68" xfId="0" applyNumberFormat="1" applyFont="1" applyFill="1" applyBorder="1" applyAlignment="1">
      <alignment horizontal="left"/>
    </xf>
    <xf numFmtId="2" fontId="96" fillId="0" borderId="0" xfId="0" applyNumberFormat="1" applyFont="1"/>
    <xf numFmtId="2" fontId="97" fillId="22" borderId="0" xfId="0" applyNumberFormat="1" applyFont="1" applyFill="1"/>
    <xf numFmtId="1" fontId="98" fillId="0" borderId="0" xfId="0" applyNumberFormat="1" applyFont="1" applyProtection="1">
      <protection locked="0"/>
    </xf>
    <xf numFmtId="1" fontId="99" fillId="0" borderId="0" xfId="0" applyNumberFormat="1" applyFont="1" applyProtection="1">
      <protection locked="0"/>
    </xf>
    <xf numFmtId="1" fontId="98" fillId="0" borderId="32" xfId="0" applyNumberFormat="1" applyFont="1" applyBorder="1" applyProtection="1">
      <protection locked="0"/>
    </xf>
    <xf numFmtId="1" fontId="99" fillId="0" borderId="33" xfId="0" applyNumberFormat="1" applyFont="1" applyBorder="1" applyProtection="1">
      <protection locked="0"/>
    </xf>
    <xf numFmtId="9" fontId="3" fillId="0" borderId="33" xfId="1" applyFont="1" applyBorder="1" applyAlignment="1" applyProtection="1">
      <alignment horizontal="center"/>
      <protection locked="0"/>
    </xf>
    <xf numFmtId="2" fontId="0" fillId="0" borderId="91" xfId="0" applyNumberFormat="1" applyBorder="1" applyProtection="1">
      <protection locked="0"/>
    </xf>
    <xf numFmtId="2" fontId="0" fillId="0" borderId="0" xfId="0" applyNumberFormat="1" applyProtection="1">
      <protection locked="0"/>
    </xf>
    <xf numFmtId="17" fontId="10" fillId="0" borderId="0" xfId="0" applyNumberFormat="1" applyFont="1" applyProtection="1">
      <protection locked="0"/>
    </xf>
    <xf numFmtId="17" fontId="45" fillId="0" borderId="36" xfId="0" applyNumberFormat="1" applyFont="1" applyBorder="1" applyAlignment="1" applyProtection="1">
      <alignment horizontal="center"/>
      <protection locked="0"/>
    </xf>
    <xf numFmtId="17" fontId="45" fillId="0" borderId="5" xfId="0" applyNumberFormat="1" applyFont="1" applyBorder="1" applyAlignment="1" applyProtection="1">
      <alignment horizontal="center"/>
      <protection locked="0"/>
    </xf>
    <xf numFmtId="17" fontId="45" fillId="0" borderId="0" xfId="0" applyNumberFormat="1" applyFont="1" applyAlignment="1" applyProtection="1">
      <alignment horizontal="center"/>
      <protection locked="0"/>
    </xf>
    <xf numFmtId="2" fontId="100" fillId="0" borderId="0" xfId="0" applyNumberFormat="1" applyFont="1"/>
    <xf numFmtId="3" fontId="10" fillId="0" borderId="0" xfId="0" applyNumberFormat="1" applyFont="1" applyProtection="1">
      <protection locked="0"/>
    </xf>
    <xf numFmtId="3" fontId="21" fillId="0" borderId="5" xfId="0" applyNumberFormat="1" applyFont="1" applyBorder="1" applyProtection="1">
      <protection locked="0"/>
    </xf>
    <xf numFmtId="3" fontId="64" fillId="0" borderId="5" xfId="0" applyNumberFormat="1" applyFont="1" applyBorder="1" applyProtection="1">
      <protection locked="0"/>
    </xf>
    <xf numFmtId="3" fontId="64" fillId="0" borderId="0" xfId="0" applyNumberFormat="1" applyFont="1" applyProtection="1">
      <protection locked="0"/>
    </xf>
    <xf numFmtId="3" fontId="10" fillId="0" borderId="0" xfId="1" applyNumberFormat="1" applyFont="1" applyFill="1" applyBorder="1" applyAlignment="1" applyProtection="1">
      <protection locked="0"/>
    </xf>
    <xf numFmtId="3" fontId="36" fillId="0" borderId="0" xfId="0" applyNumberFormat="1" applyFont="1" applyProtection="1">
      <protection locked="0"/>
    </xf>
    <xf numFmtId="1" fontId="13" fillId="0" borderId="14" xfId="0" applyNumberFormat="1" applyFont="1" applyBorder="1" applyAlignment="1" applyProtection="1">
      <alignment horizontal="center"/>
      <protection locked="0"/>
    </xf>
    <xf numFmtId="10" fontId="10" fillId="0" borderId="0" xfId="1" applyNumberFormat="1" applyFont="1" applyFill="1" applyBorder="1" applyAlignment="1" applyProtection="1">
      <protection locked="0"/>
    </xf>
    <xf numFmtId="2" fontId="36" fillId="0" borderId="0" xfId="0" applyNumberFormat="1" applyFont="1" applyProtection="1">
      <protection locked="0"/>
    </xf>
    <xf numFmtId="1" fontId="13" fillId="0" borderId="9" xfId="0" applyNumberFormat="1" applyFont="1" applyBorder="1" applyAlignment="1" applyProtection="1">
      <alignment horizontal="center"/>
      <protection locked="0"/>
    </xf>
    <xf numFmtId="9" fontId="101" fillId="0" borderId="0" xfId="1" applyFont="1" applyFill="1" applyBorder="1" applyAlignment="1" applyProtection="1">
      <protection locked="0"/>
    </xf>
    <xf numFmtId="166" fontId="64" fillId="0" borderId="0" xfId="1" applyNumberFormat="1" applyFont="1" applyFill="1" applyBorder="1" applyAlignment="1" applyProtection="1">
      <protection locked="0"/>
    </xf>
    <xf numFmtId="2" fontId="64" fillId="0" borderId="47" xfId="0" applyNumberFormat="1" applyFont="1" applyBorder="1" applyProtection="1">
      <protection locked="0"/>
    </xf>
    <xf numFmtId="2" fontId="64" fillId="0" borderId="92" xfId="0" applyNumberFormat="1" applyFont="1" applyBorder="1" applyProtection="1">
      <protection locked="0"/>
    </xf>
    <xf numFmtId="2" fontId="64" fillId="0" borderId="0" xfId="0" applyNumberFormat="1" applyFont="1" applyProtection="1">
      <protection locked="0"/>
    </xf>
    <xf numFmtId="9" fontId="12" fillId="0" borderId="0" xfId="1" applyFont="1" applyAlignment="1">
      <alignment horizontal="center"/>
    </xf>
    <xf numFmtId="2" fontId="12" fillId="3" borderId="93" xfId="0" applyNumberFormat="1" applyFont="1" applyFill="1" applyBorder="1" applyAlignment="1">
      <alignment horizontal="right"/>
    </xf>
    <xf numFmtId="2" fontId="83" fillId="0" borderId="94" xfId="0" applyNumberFormat="1" applyFont="1" applyBorder="1"/>
    <xf numFmtId="2" fontId="102" fillId="0" borderId="95" xfId="0" applyNumberFormat="1" applyFont="1" applyBorder="1"/>
    <xf numFmtId="2" fontId="48" fillId="0" borderId="3" xfId="0" applyNumberFormat="1" applyFont="1" applyBorder="1"/>
    <xf numFmtId="1" fontId="12" fillId="0" borderId="3" xfId="0" applyNumberFormat="1" applyFont="1" applyBorder="1" applyAlignment="1" applyProtection="1">
      <alignment horizontal="center"/>
      <protection locked="0"/>
    </xf>
    <xf numFmtId="3" fontId="67" fillId="0" borderId="96" xfId="0" applyNumberFormat="1" applyFont="1" applyBorder="1"/>
    <xf numFmtId="3" fontId="12" fillId="0" borderId="0" xfId="0" applyNumberFormat="1" applyFont="1" applyAlignment="1" applyProtection="1">
      <alignment horizontal="center"/>
      <protection locked="0"/>
    </xf>
    <xf numFmtId="1" fontId="13" fillId="0" borderId="97" xfId="0" applyNumberFormat="1" applyFont="1" applyBorder="1" applyAlignment="1" applyProtection="1">
      <alignment horizontal="center"/>
      <protection locked="0"/>
    </xf>
    <xf numFmtId="3" fontId="58" fillId="0" borderId="0" xfId="0" applyNumberFormat="1" applyFont="1" applyAlignment="1">
      <alignment horizontal="left"/>
    </xf>
    <xf numFmtId="3" fontId="13" fillId="0" borderId="0" xfId="0" applyNumberFormat="1" applyFont="1" applyAlignment="1" applyProtection="1">
      <alignment horizontal="center"/>
      <protection locked="0"/>
    </xf>
    <xf numFmtId="166" fontId="70" fillId="27" borderId="0" xfId="1" applyNumberFormat="1" applyFont="1" applyFill="1" applyBorder="1" applyAlignment="1" applyProtection="1">
      <protection locked="0"/>
    </xf>
    <xf numFmtId="3" fontId="70" fillId="27" borderId="0" xfId="0" applyNumberFormat="1" applyFont="1" applyFill="1" applyProtection="1">
      <protection locked="0"/>
    </xf>
    <xf numFmtId="1" fontId="13" fillId="0" borderId="0" xfId="0" applyNumberFormat="1" applyFont="1" applyAlignment="1" applyProtection="1">
      <alignment horizontal="center"/>
      <protection locked="0"/>
    </xf>
    <xf numFmtId="169" fontId="13" fillId="0" borderId="0" xfId="0" applyNumberFormat="1" applyFont="1" applyAlignment="1" applyProtection="1">
      <alignment horizontal="center"/>
      <protection locked="0"/>
    </xf>
    <xf numFmtId="2" fontId="3" fillId="0" borderId="0" xfId="0" applyNumberFormat="1" applyFont="1" applyAlignment="1">
      <alignment horizontal="center"/>
    </xf>
    <xf numFmtId="2" fontId="19" fillId="0" borderId="4" xfId="0" applyNumberFormat="1" applyFont="1" applyBorder="1" applyAlignment="1">
      <alignment horizontal="right"/>
    </xf>
    <xf numFmtId="2" fontId="19" fillId="0" borderId="0" xfId="0" applyNumberFormat="1" applyFont="1" applyAlignment="1">
      <alignment horizontal="right"/>
    </xf>
    <xf numFmtId="2" fontId="10" fillId="46" borderId="0" xfId="0" applyNumberFormat="1" applyFont="1" applyFill="1"/>
    <xf numFmtId="2" fontId="3" fillId="0" borderId="98" xfId="0" applyNumberFormat="1" applyFont="1" applyBorder="1"/>
    <xf numFmtId="2" fontId="3" fillId="0" borderId="19" xfId="0" applyNumberFormat="1" applyFont="1" applyBorder="1"/>
    <xf numFmtId="2" fontId="3" fillId="0" borderId="3" xfId="0" applyNumberFormat="1" applyFont="1" applyBorder="1"/>
    <xf numFmtId="1" fontId="10" fillId="0" borderId="62" xfId="0" applyNumberFormat="1" applyFont="1" applyBorder="1" applyAlignment="1">
      <alignment horizontal="right"/>
    </xf>
    <xf numFmtId="1" fontId="45" fillId="0" borderId="62" xfId="0" applyNumberFormat="1" applyFont="1" applyBorder="1" applyAlignment="1">
      <alignment horizontal="right"/>
    </xf>
    <xf numFmtId="2" fontId="10" fillId="0" borderId="62" xfId="0" applyNumberFormat="1" applyFont="1" applyBorder="1"/>
    <xf numFmtId="4" fontId="10" fillId="7" borderId="62" xfId="0" applyNumberFormat="1" applyFont="1" applyFill="1" applyBorder="1" applyAlignment="1">
      <alignment horizontal="left"/>
    </xf>
    <xf numFmtId="4" fontId="10" fillId="7" borderId="63" xfId="0" applyNumberFormat="1" applyFont="1" applyFill="1" applyBorder="1" applyAlignment="1">
      <alignment horizontal="left"/>
    </xf>
    <xf numFmtId="2" fontId="0" fillId="28" borderId="0" xfId="0" applyNumberFormat="1" applyFill="1"/>
    <xf numFmtId="1" fontId="10" fillId="6" borderId="62" xfId="0" applyNumberFormat="1" applyFont="1" applyFill="1" applyBorder="1" applyAlignment="1">
      <alignment horizontal="right"/>
    </xf>
    <xf numFmtId="9" fontId="10" fillId="6" borderId="62" xfId="1" applyFont="1" applyFill="1" applyBorder="1" applyAlignment="1">
      <alignment horizontal="right"/>
    </xf>
    <xf numFmtId="4" fontId="10" fillId="6" borderId="62" xfId="0" applyNumberFormat="1" applyFont="1" applyFill="1" applyBorder="1" applyAlignment="1">
      <alignment horizontal="left"/>
    </xf>
    <xf numFmtId="4" fontId="10" fillId="6" borderId="63" xfId="0" applyNumberFormat="1" applyFont="1" applyFill="1" applyBorder="1" applyAlignment="1">
      <alignment horizontal="left"/>
    </xf>
    <xf numFmtId="1" fontId="12" fillId="0" borderId="62" xfId="0" applyNumberFormat="1" applyFont="1" applyBorder="1" applyAlignment="1">
      <alignment horizontal="right"/>
    </xf>
    <xf numFmtId="2" fontId="10" fillId="0" borderId="62" xfId="0" applyNumberFormat="1" applyFont="1" applyBorder="1" applyAlignment="1">
      <alignment horizontal="left"/>
    </xf>
    <xf numFmtId="1" fontId="10" fillId="7" borderId="62" xfId="0" applyNumberFormat="1" applyFont="1" applyFill="1" applyBorder="1" applyAlignment="1">
      <alignment horizontal="right"/>
    </xf>
    <xf numFmtId="9" fontId="63" fillId="7" borderId="62" xfId="1" applyFont="1" applyFill="1" applyBorder="1" applyAlignment="1" applyProtection="1">
      <alignment horizontal="right"/>
      <protection locked="0"/>
    </xf>
    <xf numFmtId="1" fontId="21" fillId="6" borderId="62" xfId="0" applyNumberFormat="1" applyFont="1" applyFill="1" applyBorder="1" applyAlignment="1">
      <alignment horizontal="right"/>
    </xf>
    <xf numFmtId="4" fontId="12" fillId="6" borderId="63" xfId="0" applyNumberFormat="1" applyFont="1" applyFill="1" applyBorder="1" applyAlignment="1">
      <alignment horizontal="left"/>
    </xf>
    <xf numFmtId="1" fontId="12" fillId="0" borderId="62" xfId="0" applyNumberFormat="1" applyFont="1" applyBorder="1"/>
    <xf numFmtId="4" fontId="0" fillId="0" borderId="0" xfId="0" applyNumberFormat="1"/>
    <xf numFmtId="1" fontId="10" fillId="40" borderId="62" xfId="0" applyNumberFormat="1" applyFont="1" applyFill="1" applyBorder="1" applyAlignment="1">
      <alignment horizontal="right"/>
    </xf>
    <xf numFmtId="1" fontId="12" fillId="40" borderId="62" xfId="0" applyNumberFormat="1" applyFont="1" applyFill="1" applyBorder="1" applyAlignment="1">
      <alignment horizontal="right"/>
    </xf>
    <xf numFmtId="2" fontId="83" fillId="17" borderId="62" xfId="0" applyNumberFormat="1" applyFont="1" applyFill="1" applyBorder="1"/>
    <xf numFmtId="1" fontId="13" fillId="31" borderId="68" xfId="0" applyNumberFormat="1" applyFont="1" applyFill="1" applyBorder="1" applyAlignment="1" applyProtection="1">
      <alignment horizontal="right"/>
      <protection locked="0"/>
    </xf>
    <xf numFmtId="4" fontId="33" fillId="31" borderId="68" xfId="0" applyNumberFormat="1" applyFont="1" applyFill="1" applyBorder="1" applyAlignment="1">
      <alignment horizontal="left"/>
    </xf>
    <xf numFmtId="1" fontId="13" fillId="7" borderId="62" xfId="0" applyNumberFormat="1" applyFont="1" applyFill="1" applyBorder="1"/>
    <xf numFmtId="4" fontId="45" fillId="7" borderId="62" xfId="0" applyNumberFormat="1" applyFont="1" applyFill="1" applyBorder="1" applyAlignment="1">
      <alignment horizontal="left"/>
    </xf>
    <xf numFmtId="1" fontId="3" fillId="6" borderId="62" xfId="0" applyNumberFormat="1" applyFont="1" applyFill="1" applyBorder="1" applyAlignment="1">
      <alignment horizontal="right"/>
    </xf>
    <xf numFmtId="4" fontId="63" fillId="6" borderId="62" xfId="0" applyNumberFormat="1" applyFont="1" applyFill="1" applyBorder="1" applyAlignment="1" applyProtection="1">
      <alignment horizontal="right"/>
      <protection locked="0"/>
    </xf>
    <xf numFmtId="1" fontId="12" fillId="7" borderId="62" xfId="0" applyNumberFormat="1" applyFont="1" applyFill="1" applyBorder="1" applyAlignment="1">
      <alignment horizontal="right"/>
    </xf>
    <xf numFmtId="4" fontId="30" fillId="47" borderId="62" xfId="0" applyNumberFormat="1" applyFont="1" applyFill="1" applyBorder="1" applyAlignment="1">
      <alignment horizontal="left"/>
    </xf>
    <xf numFmtId="4" fontId="30" fillId="0" borderId="62" xfId="0" applyNumberFormat="1" applyFont="1" applyBorder="1" applyAlignment="1">
      <alignment horizontal="left"/>
    </xf>
    <xf numFmtId="1" fontId="0" fillId="6" borderId="62" xfId="0" applyNumberFormat="1" applyFill="1" applyBorder="1"/>
    <xf numFmtId="4" fontId="45" fillId="6" borderId="62" xfId="0" applyNumberFormat="1" applyFont="1" applyFill="1" applyBorder="1" applyAlignment="1">
      <alignment horizontal="left"/>
    </xf>
    <xf numFmtId="1" fontId="3" fillId="7" borderId="62" xfId="0" applyNumberFormat="1" applyFont="1" applyFill="1" applyBorder="1"/>
    <xf numFmtId="4" fontId="63" fillId="7" borderId="62" xfId="0" applyNumberFormat="1" applyFont="1" applyFill="1" applyBorder="1" applyAlignment="1" applyProtection="1">
      <alignment horizontal="left"/>
      <protection locked="0"/>
    </xf>
    <xf numFmtId="4" fontId="10" fillId="7" borderId="63" xfId="0" applyNumberFormat="1" applyFont="1" applyFill="1" applyBorder="1" applyAlignment="1">
      <alignment horizontal="right"/>
    </xf>
    <xf numFmtId="2" fontId="10" fillId="6" borderId="62" xfId="0" applyNumberFormat="1" applyFont="1" applyFill="1" applyBorder="1" applyAlignment="1">
      <alignment horizontal="left"/>
    </xf>
    <xf numFmtId="4" fontId="10" fillId="6" borderId="63" xfId="0" applyNumberFormat="1" applyFont="1" applyFill="1" applyBorder="1" applyAlignment="1">
      <alignment horizontal="right"/>
    </xf>
    <xf numFmtId="1" fontId="10" fillId="7" borderId="62" xfId="0" applyNumberFormat="1" applyFont="1" applyFill="1" applyBorder="1" applyAlignment="1">
      <alignment horizontal="center"/>
    </xf>
    <xf numFmtId="9" fontId="5" fillId="7" borderId="62" xfId="1" applyFont="1" applyFill="1" applyBorder="1" applyAlignment="1" applyProtection="1">
      <alignment horizontal="right"/>
      <protection locked="0"/>
    </xf>
    <xf numFmtId="2" fontId="10" fillId="7" borderId="62" xfId="0" applyNumberFormat="1" applyFont="1" applyFill="1" applyBorder="1" applyAlignment="1">
      <alignment horizontal="left"/>
    </xf>
    <xf numFmtId="1" fontId="10" fillId="6" borderId="70" xfId="0" applyNumberFormat="1" applyFont="1" applyFill="1" applyBorder="1" applyAlignment="1">
      <alignment horizontal="center"/>
    </xf>
    <xf numFmtId="9" fontId="5" fillId="6" borderId="70" xfId="1" applyFont="1" applyFill="1" applyBorder="1" applyAlignment="1" applyProtection="1">
      <alignment horizontal="right"/>
      <protection locked="0"/>
    </xf>
    <xf numFmtId="2" fontId="10" fillId="6" borderId="70" xfId="0" applyNumberFormat="1" applyFont="1" applyFill="1" applyBorder="1"/>
    <xf numFmtId="4" fontId="10" fillId="6" borderId="70" xfId="0" applyNumberFormat="1" applyFont="1" applyFill="1" applyBorder="1" applyAlignment="1">
      <alignment horizontal="left"/>
    </xf>
    <xf numFmtId="4" fontId="10" fillId="6" borderId="71" xfId="0" applyNumberFormat="1" applyFont="1" applyFill="1" applyBorder="1" applyAlignment="1">
      <alignment horizontal="right"/>
    </xf>
    <xf numFmtId="2" fontId="3" fillId="0" borderId="71" xfId="0" applyNumberFormat="1" applyFont="1" applyBorder="1"/>
    <xf numFmtId="1" fontId="3" fillId="0" borderId="71" xfId="0" applyNumberFormat="1" applyFont="1" applyBorder="1"/>
    <xf numFmtId="2" fontId="45" fillId="0" borderId="71" xfId="0" applyNumberFormat="1" applyFont="1" applyBorder="1" applyAlignment="1">
      <alignment horizontal="left"/>
    </xf>
    <xf numFmtId="4" fontId="10" fillId="0" borderId="71" xfId="0" applyNumberFormat="1" applyFont="1" applyBorder="1" applyAlignment="1">
      <alignment horizontal="left"/>
    </xf>
    <xf numFmtId="4" fontId="45" fillId="0" borderId="71" xfId="0" applyNumberFormat="1" applyFont="1" applyBorder="1" applyAlignment="1">
      <alignment horizontal="right"/>
    </xf>
    <xf numFmtId="2" fontId="10" fillId="0" borderId="6" xfId="0" applyNumberFormat="1" applyFont="1" applyBorder="1" applyAlignment="1">
      <alignment horizontal="right"/>
    </xf>
    <xf numFmtId="2" fontId="78" fillId="33" borderId="0" xfId="0" applyNumberFormat="1" applyFont="1" applyFill="1" applyAlignment="1">
      <alignment horizontal="right"/>
    </xf>
    <xf numFmtId="2" fontId="79" fillId="33" borderId="3" xfId="0" applyNumberFormat="1" applyFont="1" applyFill="1" applyBorder="1"/>
    <xf numFmtId="4" fontId="79" fillId="33" borderId="63" xfId="0" applyNumberFormat="1" applyFont="1" applyFill="1" applyBorder="1" applyAlignment="1">
      <alignment horizontal="left"/>
    </xf>
    <xf numFmtId="4" fontId="79" fillId="33" borderId="71" xfId="0" applyNumberFormat="1" applyFont="1" applyFill="1" applyBorder="1" applyAlignment="1">
      <alignment horizontal="left"/>
    </xf>
    <xf numFmtId="2" fontId="79" fillId="33" borderId="0" xfId="0" applyNumberFormat="1" applyFont="1" applyFill="1"/>
    <xf numFmtId="2" fontId="10" fillId="11" borderId="0" xfId="0" applyNumberFormat="1" applyFont="1" applyFill="1" applyAlignment="1">
      <alignment horizontal="right"/>
    </xf>
    <xf numFmtId="4" fontId="12" fillId="0" borderId="5" xfId="0" applyNumberFormat="1" applyFont="1" applyBorder="1"/>
    <xf numFmtId="4" fontId="12" fillId="0" borderId="72" xfId="0" applyNumberFormat="1" applyFont="1" applyBorder="1" applyAlignment="1">
      <alignment horizontal="left"/>
    </xf>
    <xf numFmtId="2" fontId="12" fillId="28" borderId="0" xfId="0" applyNumberFormat="1" applyFont="1" applyFill="1"/>
    <xf numFmtId="2" fontId="45" fillId="0" borderId="99" xfId="0" applyNumberFormat="1" applyFont="1" applyBorder="1" applyAlignment="1">
      <alignment horizontal="left"/>
    </xf>
    <xf numFmtId="4" fontId="12" fillId="0" borderId="71" xfId="0" applyNumberFormat="1" applyFont="1" applyBorder="1" applyAlignment="1">
      <alignment horizontal="left"/>
    </xf>
    <xf numFmtId="2" fontId="10" fillId="0" borderId="71" xfId="0" applyNumberFormat="1" applyFont="1" applyBorder="1" applyAlignment="1">
      <alignment horizontal="left"/>
    </xf>
    <xf numFmtId="2" fontId="10" fillId="0" borderId="71" xfId="0" applyNumberFormat="1" applyFont="1" applyBorder="1" applyAlignment="1" applyProtection="1">
      <alignment horizontal="left"/>
      <protection locked="0"/>
    </xf>
    <xf numFmtId="2" fontId="10" fillId="0" borderId="0" xfId="0" applyNumberFormat="1" applyFont="1" applyAlignment="1">
      <alignment horizontal="center"/>
    </xf>
    <xf numFmtId="2" fontId="94" fillId="0" borderId="0" xfId="0" applyNumberFormat="1" applyFont="1"/>
    <xf numFmtId="2" fontId="10" fillId="34" borderId="100" xfId="0" applyNumberFormat="1" applyFont="1" applyFill="1" applyBorder="1" applyAlignment="1">
      <alignment horizontal="left"/>
    </xf>
    <xf numFmtId="2" fontId="94" fillId="28" borderId="0" xfId="0" applyNumberFormat="1" applyFont="1" applyFill="1"/>
    <xf numFmtId="2" fontId="10" fillId="34" borderId="101" xfId="0" applyNumberFormat="1" applyFont="1" applyFill="1" applyBorder="1" applyAlignment="1">
      <alignment horizontal="left"/>
    </xf>
    <xf numFmtId="2" fontId="10" fillId="0" borderId="102" xfId="0" applyNumberFormat="1" applyFont="1" applyBorder="1" applyAlignment="1">
      <alignment horizontal="left"/>
    </xf>
    <xf numFmtId="10" fontId="3" fillId="0" borderId="103" xfId="1" applyNumberFormat="1" applyFont="1" applyFill="1" applyBorder="1" applyAlignment="1">
      <alignment horizontal="left"/>
    </xf>
    <xf numFmtId="2" fontId="10" fillId="37" borderId="104" xfId="0" applyNumberFormat="1" applyFont="1" applyFill="1" applyBorder="1" applyAlignment="1">
      <alignment horizontal="left"/>
    </xf>
    <xf numFmtId="4" fontId="12" fillId="37" borderId="78" xfId="0" applyNumberFormat="1" applyFont="1" applyFill="1" applyBorder="1" applyAlignment="1">
      <alignment horizontal="center"/>
    </xf>
    <xf numFmtId="2" fontId="10" fillId="37" borderId="105" xfId="0" applyNumberFormat="1" applyFont="1" applyFill="1" applyBorder="1" applyAlignment="1">
      <alignment horizontal="left"/>
    </xf>
    <xf numFmtId="10" fontId="12" fillId="37" borderId="80" xfId="1" applyNumberFormat="1" applyFont="1" applyFill="1" applyBorder="1" applyAlignment="1">
      <alignment horizontal="center"/>
    </xf>
    <xf numFmtId="2" fontId="10" fillId="0" borderId="72" xfId="0" applyNumberFormat="1" applyFont="1" applyBorder="1" applyAlignment="1">
      <alignment horizontal="left"/>
    </xf>
    <xf numFmtId="2" fontId="12" fillId="0" borderId="71" xfId="0" applyNumberFormat="1" applyFont="1" applyBorder="1" applyAlignment="1">
      <alignment horizontal="center"/>
    </xf>
    <xf numFmtId="4" fontId="12" fillId="38" borderId="82" xfId="0" applyNumberFormat="1" applyFont="1" applyFill="1" applyBorder="1" applyAlignment="1">
      <alignment horizontal="center"/>
    </xf>
    <xf numFmtId="2" fontId="10" fillId="0" borderId="81" xfId="0" applyNumberFormat="1" applyFont="1" applyBorder="1" applyAlignment="1">
      <alignment horizontal="left"/>
    </xf>
    <xf numFmtId="4" fontId="12" fillId="0" borderId="82" xfId="0" applyNumberFormat="1" applyFont="1" applyBorder="1" applyAlignment="1">
      <alignment horizontal="center"/>
    </xf>
    <xf numFmtId="2" fontId="10" fillId="38" borderId="0" xfId="0" applyNumberFormat="1" applyFont="1" applyFill="1" applyAlignment="1">
      <alignment horizontal="left"/>
    </xf>
    <xf numFmtId="10" fontId="12" fillId="38" borderId="0" xfId="1" applyNumberFormat="1" applyFont="1" applyFill="1" applyBorder="1" applyAlignment="1">
      <alignment horizontal="center"/>
    </xf>
    <xf numFmtId="4" fontId="12" fillId="38" borderId="84" xfId="1" applyNumberFormat="1" applyFont="1" applyFill="1" applyBorder="1" applyAlignment="1">
      <alignment horizontal="center"/>
    </xf>
    <xf numFmtId="10" fontId="12" fillId="38" borderId="82" xfId="1" applyNumberFormat="1" applyFont="1" applyFill="1" applyBorder="1" applyAlignment="1">
      <alignment horizontal="center"/>
    </xf>
    <xf numFmtId="4" fontId="3" fillId="0" borderId="88" xfId="0" applyNumberFormat="1" applyFont="1" applyBorder="1" applyAlignment="1">
      <alignment horizontal="left"/>
    </xf>
    <xf numFmtId="2" fontId="10" fillId="48" borderId="87" xfId="0" applyNumberFormat="1" applyFont="1" applyFill="1" applyBorder="1" applyAlignment="1">
      <alignment horizontal="left"/>
    </xf>
    <xf numFmtId="2" fontId="10" fillId="48" borderId="88" xfId="0" applyNumberFormat="1" applyFont="1" applyFill="1" applyBorder="1" applyAlignment="1">
      <alignment horizontal="left"/>
    </xf>
    <xf numFmtId="2" fontId="94" fillId="0" borderId="0" xfId="0" applyNumberFormat="1" applyFont="1" applyProtection="1">
      <protection locked="0"/>
    </xf>
    <xf numFmtId="2" fontId="3" fillId="48" borderId="88" xfId="0" applyNumberFormat="1" applyFont="1" applyFill="1" applyBorder="1" applyAlignment="1">
      <alignment horizontal="left"/>
    </xf>
    <xf numFmtId="2" fontId="45" fillId="7" borderId="87" xfId="0" applyNumberFormat="1" applyFont="1" applyFill="1" applyBorder="1" applyAlignment="1">
      <alignment horizontal="left"/>
    </xf>
    <xf numFmtId="2" fontId="10" fillId="48" borderId="89" xfId="0" applyNumberFormat="1" applyFont="1" applyFill="1" applyBorder="1" applyAlignment="1">
      <alignment horizontal="left"/>
    </xf>
    <xf numFmtId="4" fontId="45" fillId="48" borderId="90" xfId="0" applyNumberFormat="1" applyFont="1" applyFill="1" applyBorder="1" applyAlignment="1">
      <alignment horizontal="left"/>
    </xf>
    <xf numFmtId="2" fontId="104" fillId="27" borderId="0" xfId="0" applyNumberFormat="1" applyFont="1" applyFill="1"/>
    <xf numFmtId="2" fontId="104" fillId="49" borderId="0" xfId="0" applyNumberFormat="1" applyFont="1" applyFill="1"/>
    <xf numFmtId="169" fontId="104" fillId="27" borderId="0" xfId="0" applyNumberFormat="1" applyFont="1" applyFill="1"/>
    <xf numFmtId="2" fontId="105" fillId="0" borderId="0" xfId="0" applyNumberFormat="1" applyFont="1"/>
    <xf numFmtId="1" fontId="10" fillId="6" borderId="68" xfId="0" applyNumberFormat="1" applyFont="1" applyFill="1" applyBorder="1" applyAlignment="1">
      <alignment horizontal="right"/>
    </xf>
    <xf numFmtId="2" fontId="45" fillId="6" borderId="68" xfId="0" applyNumberFormat="1" applyFont="1" applyFill="1" applyBorder="1" applyAlignment="1">
      <alignment horizontal="right"/>
    </xf>
    <xf numFmtId="2" fontId="10" fillId="50" borderId="68" xfId="0" applyNumberFormat="1" applyFont="1" applyFill="1" applyBorder="1"/>
    <xf numFmtId="1" fontId="10" fillId="0" borderId="68" xfId="0" applyNumberFormat="1" applyFont="1" applyBorder="1" applyAlignment="1">
      <alignment horizontal="right"/>
    </xf>
    <xf numFmtId="9" fontId="10" fillId="0" borderId="68" xfId="1" applyFont="1" applyBorder="1" applyAlignment="1">
      <alignment horizontal="right"/>
    </xf>
    <xf numFmtId="2" fontId="10" fillId="28" borderId="68" xfId="0" applyNumberFormat="1" applyFont="1" applyFill="1" applyBorder="1"/>
    <xf numFmtId="2" fontId="12" fillId="6" borderId="68" xfId="0" applyNumberFormat="1" applyFont="1" applyFill="1" applyBorder="1" applyAlignment="1">
      <alignment horizontal="right"/>
    </xf>
    <xf numFmtId="2" fontId="10" fillId="6" borderId="106" xfId="0" applyNumberFormat="1" applyFont="1" applyFill="1" applyBorder="1"/>
    <xf numFmtId="2" fontId="10" fillId="0" borderId="106" xfId="0" applyNumberFormat="1" applyFont="1" applyBorder="1"/>
    <xf numFmtId="1" fontId="21" fillId="6" borderId="68" xfId="0" applyNumberFormat="1" applyFont="1" applyFill="1" applyBorder="1" applyAlignment="1">
      <alignment horizontal="right"/>
    </xf>
    <xf numFmtId="2" fontId="21" fillId="6" borderId="68" xfId="0" applyNumberFormat="1" applyFont="1" applyFill="1" applyBorder="1" applyAlignment="1">
      <alignment horizontal="right"/>
    </xf>
    <xf numFmtId="2" fontId="21" fillId="6" borderId="68" xfId="0" applyNumberFormat="1" applyFont="1" applyFill="1" applyBorder="1" applyAlignment="1">
      <alignment horizontal="left"/>
    </xf>
    <xf numFmtId="169" fontId="106" fillId="6" borderId="68" xfId="0" applyNumberFormat="1" applyFont="1" applyFill="1" applyBorder="1"/>
    <xf numFmtId="2" fontId="21" fillId="50" borderId="68" xfId="0" applyNumberFormat="1" applyFont="1" applyFill="1" applyBorder="1" applyAlignment="1">
      <alignment horizontal="left"/>
    </xf>
    <xf numFmtId="2" fontId="21" fillId="0" borderId="0" xfId="0" applyNumberFormat="1" applyFont="1" applyAlignment="1">
      <alignment horizontal="left"/>
    </xf>
    <xf numFmtId="168" fontId="10" fillId="6" borderId="68" xfId="0" applyNumberFormat="1" applyFont="1" applyFill="1" applyBorder="1"/>
    <xf numFmtId="9" fontId="13" fillId="40" borderId="68" xfId="1" applyFont="1" applyFill="1" applyBorder="1" applyAlignment="1">
      <alignment horizontal="right"/>
    </xf>
    <xf numFmtId="2" fontId="21" fillId="6" borderId="68" xfId="0" applyNumberFormat="1" applyFont="1" applyFill="1" applyBorder="1"/>
    <xf numFmtId="2" fontId="21" fillId="7" borderId="63" xfId="0" applyNumberFormat="1" applyFont="1" applyFill="1" applyBorder="1" applyAlignment="1">
      <alignment horizontal="left"/>
    </xf>
    <xf numFmtId="2" fontId="21" fillId="50" borderId="68" xfId="0" applyNumberFormat="1" applyFont="1" applyFill="1" applyBorder="1"/>
    <xf numFmtId="1" fontId="21" fillId="40" borderId="68" xfId="0" applyNumberFormat="1" applyFont="1" applyFill="1" applyBorder="1" applyAlignment="1">
      <alignment horizontal="right"/>
    </xf>
    <xf numFmtId="1" fontId="106" fillId="40" borderId="68" xfId="0" applyNumberFormat="1" applyFont="1" applyFill="1" applyBorder="1" applyAlignment="1">
      <alignment horizontal="right"/>
    </xf>
    <xf numFmtId="2" fontId="64" fillId="17" borderId="68" xfId="0" applyNumberFormat="1" applyFont="1" applyFill="1" applyBorder="1"/>
    <xf numFmtId="2" fontId="21" fillId="40" borderId="68" xfId="0" applyNumberFormat="1" applyFont="1" applyFill="1" applyBorder="1" applyAlignment="1">
      <alignment horizontal="left"/>
    </xf>
    <xf numFmtId="2" fontId="64" fillId="51" borderId="68" xfId="0" applyNumberFormat="1" applyFont="1" applyFill="1" applyBorder="1"/>
    <xf numFmtId="2" fontId="106" fillId="0" borderId="0" xfId="0" applyNumberFormat="1" applyFont="1"/>
    <xf numFmtId="2" fontId="45" fillId="40" borderId="68" xfId="0" applyNumberFormat="1" applyFont="1" applyFill="1" applyBorder="1" applyAlignment="1">
      <alignment horizontal="left"/>
    </xf>
    <xf numFmtId="2" fontId="83" fillId="51" borderId="68" xfId="0" applyNumberFormat="1" applyFont="1" applyFill="1" applyBorder="1"/>
    <xf numFmtId="2" fontId="63" fillId="0" borderId="0" xfId="0" applyNumberFormat="1" applyFont="1"/>
    <xf numFmtId="2" fontId="13" fillId="0" borderId="68" xfId="0" applyNumberFormat="1" applyFont="1" applyBorder="1"/>
    <xf numFmtId="2" fontId="45" fillId="0" borderId="68" xfId="0" applyNumberFormat="1" applyFont="1" applyBorder="1" applyAlignment="1">
      <alignment horizontal="right"/>
    </xf>
    <xf numFmtId="2" fontId="45" fillId="28" borderId="68" xfId="0" applyNumberFormat="1" applyFont="1" applyFill="1" applyBorder="1"/>
    <xf numFmtId="1" fontId="3" fillId="0" borderId="68" xfId="0" applyNumberFormat="1" applyFont="1" applyBorder="1" applyAlignment="1">
      <alignment horizontal="right"/>
    </xf>
    <xf numFmtId="2" fontId="63" fillId="40" borderId="68" xfId="0" applyNumberFormat="1" applyFont="1" applyFill="1" applyBorder="1" applyAlignment="1">
      <alignment horizontal="right"/>
    </xf>
    <xf numFmtId="2" fontId="21" fillId="28" borderId="68" xfId="0" applyNumberFormat="1" applyFont="1" applyFill="1" applyBorder="1"/>
    <xf numFmtId="168" fontId="10" fillId="0" borderId="68" xfId="0" applyNumberFormat="1" applyFont="1" applyBorder="1" applyAlignment="1">
      <alignment horizontal="right"/>
    </xf>
    <xf numFmtId="2" fontId="89" fillId="6" borderId="68" xfId="0" applyNumberFormat="1" applyFont="1" applyFill="1" applyBorder="1" applyAlignment="1">
      <alignment horizontal="left"/>
    </xf>
    <xf numFmtId="2" fontId="12" fillId="50" borderId="68" xfId="0" applyNumberFormat="1" applyFont="1" applyFill="1" applyBorder="1"/>
    <xf numFmtId="2" fontId="73" fillId="40" borderId="68" xfId="0" applyNumberFormat="1" applyFont="1" applyFill="1" applyBorder="1" applyAlignment="1">
      <alignment horizontal="right"/>
    </xf>
    <xf numFmtId="2" fontId="10" fillId="50" borderId="68" xfId="0" applyNumberFormat="1" applyFont="1" applyFill="1" applyBorder="1" applyAlignment="1">
      <alignment horizontal="left"/>
    </xf>
    <xf numFmtId="9" fontId="10" fillId="6" borderId="68" xfId="1" applyFont="1" applyFill="1" applyBorder="1" applyAlignment="1">
      <alignment horizontal="right"/>
    </xf>
    <xf numFmtId="2" fontId="10" fillId="28" borderId="68" xfId="0" applyNumberFormat="1" applyFont="1" applyFill="1" applyBorder="1" applyAlignment="1">
      <alignment horizontal="left"/>
    </xf>
    <xf numFmtId="2" fontId="12" fillId="28" borderId="68" xfId="0" applyNumberFormat="1" applyFont="1" applyFill="1" applyBorder="1"/>
    <xf numFmtId="2" fontId="91" fillId="0" borderId="0" xfId="0" applyNumberFormat="1" applyFont="1" applyAlignment="1">
      <alignment horizontal="center"/>
    </xf>
    <xf numFmtId="2" fontId="10" fillId="11" borderId="68" xfId="0" applyNumberFormat="1" applyFont="1" applyFill="1" applyBorder="1" applyAlignment="1">
      <alignment horizontal="right"/>
    </xf>
    <xf numFmtId="2" fontId="90" fillId="0" borderId="68" xfId="0" applyNumberFormat="1" applyFont="1" applyBorder="1" applyAlignment="1">
      <alignment horizontal="center"/>
    </xf>
    <xf numFmtId="2" fontId="94" fillId="0" borderId="68" xfId="0" applyNumberFormat="1" applyFont="1" applyBorder="1"/>
    <xf numFmtId="2" fontId="94" fillId="28" borderId="68" xfId="0" applyNumberFormat="1" applyFont="1" applyFill="1" applyBorder="1"/>
    <xf numFmtId="2" fontId="107" fillId="0" borderId="0" xfId="0" applyNumberFormat="1" applyFont="1"/>
    <xf numFmtId="10" fontId="92" fillId="0" borderId="68" xfId="1" applyNumberFormat="1" applyFont="1" applyFill="1" applyBorder="1" applyAlignment="1">
      <alignment horizontal="right"/>
    </xf>
    <xf numFmtId="2" fontId="92" fillId="0" borderId="68" xfId="0" applyNumberFormat="1" applyFont="1" applyBorder="1" applyAlignment="1">
      <alignment horizontal="right"/>
    </xf>
    <xf numFmtId="4" fontId="108" fillId="38" borderId="68" xfId="0" applyNumberFormat="1" applyFont="1" applyFill="1" applyBorder="1" applyAlignment="1">
      <alignment horizontal="left"/>
    </xf>
    <xf numFmtId="2" fontId="109" fillId="0" borderId="0" xfId="0" applyNumberFormat="1" applyFont="1"/>
    <xf numFmtId="2" fontId="20" fillId="52" borderId="0" xfId="0" applyNumberFormat="1" applyFont="1" applyFill="1"/>
    <xf numFmtId="2" fontId="110" fillId="0" borderId="0" xfId="0" applyNumberFormat="1" applyFont="1"/>
    <xf numFmtId="17" fontId="12" fillId="0" borderId="36" xfId="0" applyNumberFormat="1" applyFont="1" applyBorder="1" applyAlignment="1" applyProtection="1">
      <alignment horizontal="center"/>
      <protection locked="0"/>
    </xf>
    <xf numFmtId="17" fontId="12" fillId="0" borderId="5" xfId="0" applyNumberFormat="1" applyFont="1" applyBorder="1" applyAlignment="1" applyProtection="1">
      <alignment horizontal="center"/>
      <protection locked="0"/>
    </xf>
    <xf numFmtId="17" fontId="12" fillId="0" borderId="0" xfId="0" applyNumberFormat="1" applyFont="1" applyAlignment="1" applyProtection="1">
      <alignment horizontal="center"/>
      <protection locked="0"/>
    </xf>
    <xf numFmtId="2" fontId="111" fillId="0" borderId="0" xfId="0" applyNumberFormat="1" applyFont="1"/>
    <xf numFmtId="2" fontId="83" fillId="0" borderId="0" xfId="0" applyNumberFormat="1" applyFont="1"/>
    <xf numFmtId="9" fontId="64" fillId="0" borderId="47" xfId="1" applyFont="1" applyBorder="1" applyAlignment="1" applyProtection="1">
      <protection locked="0"/>
    </xf>
    <xf numFmtId="9" fontId="12" fillId="0" borderId="4" xfId="1" applyFont="1" applyBorder="1" applyAlignment="1">
      <alignment horizontal="center"/>
    </xf>
    <xf numFmtId="2" fontId="0" fillId="0" borderId="94" xfId="0" applyNumberFormat="1" applyBorder="1"/>
    <xf numFmtId="2" fontId="0" fillId="0" borderId="107" xfId="0" applyNumberFormat="1" applyBorder="1"/>
    <xf numFmtId="2" fontId="50" fillId="38" borderId="95" xfId="0" applyNumberFormat="1" applyFont="1" applyFill="1" applyBorder="1"/>
    <xf numFmtId="1" fontId="12" fillId="38" borderId="19" xfId="0" applyNumberFormat="1" applyFont="1" applyFill="1" applyBorder="1" applyAlignment="1">
      <alignment horizontal="center"/>
    </xf>
    <xf numFmtId="4" fontId="67" fillId="0" borderId="96" xfId="0" applyNumberFormat="1" applyFont="1" applyBorder="1"/>
    <xf numFmtId="3" fontId="12" fillId="38" borderId="0" xfId="0" applyNumberFormat="1" applyFont="1" applyFill="1" applyAlignment="1">
      <alignment horizontal="center"/>
    </xf>
    <xf numFmtId="2" fontId="112" fillId="0" borderId="0" xfId="0" applyNumberFormat="1" applyFont="1"/>
    <xf numFmtId="1" fontId="13" fillId="38" borderId="108" xfId="0" applyNumberFormat="1" applyFont="1" applyFill="1" applyBorder="1" applyAlignment="1" applyProtection="1">
      <alignment horizontal="center"/>
      <protection locked="0"/>
    </xf>
    <xf numFmtId="3" fontId="13" fillId="38" borderId="0" xfId="0" applyNumberFormat="1" applyFont="1" applyFill="1" applyAlignment="1" applyProtection="1">
      <alignment horizontal="center"/>
      <protection locked="0"/>
    </xf>
    <xf numFmtId="1" fontId="13" fillId="38" borderId="109" xfId="0" applyNumberFormat="1" applyFont="1" applyFill="1" applyBorder="1" applyAlignment="1" applyProtection="1">
      <alignment horizontal="center"/>
      <protection locked="0"/>
    </xf>
    <xf numFmtId="1" fontId="5" fillId="8" borderId="0" xfId="0" applyNumberFormat="1" applyFont="1" applyFill="1" applyAlignment="1" applyProtection="1">
      <alignment horizontal="center"/>
      <protection locked="0"/>
    </xf>
    <xf numFmtId="2" fontId="114" fillId="0" borderId="0" xfId="0" applyNumberFormat="1" applyFont="1"/>
    <xf numFmtId="2" fontId="43" fillId="53" borderId="0" xfId="0" applyNumberFormat="1" applyFont="1" applyFill="1"/>
    <xf numFmtId="2" fontId="115" fillId="46" borderId="0" xfId="0" applyNumberFormat="1" applyFont="1" applyFill="1"/>
    <xf numFmtId="2" fontId="43" fillId="46" borderId="0" xfId="0" applyNumberFormat="1" applyFont="1" applyFill="1"/>
    <xf numFmtId="2" fontId="116" fillId="0" borderId="0" xfId="0" applyNumberFormat="1" applyFont="1"/>
    <xf numFmtId="2" fontId="3" fillId="28" borderId="3" xfId="0" applyNumberFormat="1" applyFont="1" applyFill="1" applyBorder="1"/>
    <xf numFmtId="1" fontId="45" fillId="7" borderId="62" xfId="0" applyNumberFormat="1" applyFont="1" applyFill="1" applyBorder="1" applyAlignment="1">
      <alignment horizontal="right"/>
    </xf>
    <xf numFmtId="4" fontId="10" fillId="7" borderId="62" xfId="0" applyNumberFormat="1" applyFont="1" applyFill="1" applyBorder="1" applyAlignment="1">
      <alignment horizontal="right"/>
    </xf>
    <xf numFmtId="2" fontId="10" fillId="28" borderId="63" xfId="0" applyNumberFormat="1" applyFont="1" applyFill="1" applyBorder="1" applyAlignment="1">
      <alignment horizontal="right"/>
    </xf>
    <xf numFmtId="4" fontId="10" fillId="6" borderId="62" xfId="0" applyNumberFormat="1" applyFont="1" applyFill="1" applyBorder="1"/>
    <xf numFmtId="2" fontId="10" fillId="50" borderId="63" xfId="0" applyNumberFormat="1" applyFont="1" applyFill="1" applyBorder="1"/>
    <xf numFmtId="4" fontId="10" fillId="7" borderId="62" xfId="0" applyNumberFormat="1" applyFont="1" applyFill="1" applyBorder="1"/>
    <xf numFmtId="9" fontId="10" fillId="0" borderId="62" xfId="1" applyFont="1" applyFill="1" applyBorder="1" applyAlignment="1">
      <alignment horizontal="right"/>
    </xf>
    <xf numFmtId="4" fontId="10" fillId="0" borderId="62" xfId="0" applyNumberFormat="1" applyFont="1" applyBorder="1"/>
    <xf numFmtId="1" fontId="12" fillId="6" borderId="62" xfId="0" applyNumberFormat="1" applyFont="1" applyFill="1" applyBorder="1"/>
    <xf numFmtId="1" fontId="45" fillId="40" borderId="62" xfId="0" applyNumberFormat="1" applyFont="1" applyFill="1" applyBorder="1" applyAlignment="1">
      <alignment horizontal="right"/>
    </xf>
    <xf numFmtId="4" fontId="83" fillId="17" borderId="62" xfId="0" applyNumberFormat="1" applyFont="1" applyFill="1" applyBorder="1"/>
    <xf numFmtId="2" fontId="83" fillId="51" borderId="63" xfId="0" applyNumberFormat="1" applyFont="1" applyFill="1" applyBorder="1"/>
    <xf numFmtId="4" fontId="117" fillId="17" borderId="62" xfId="0" applyNumberFormat="1" applyFont="1" applyFill="1" applyBorder="1"/>
    <xf numFmtId="1" fontId="13" fillId="0" borderId="62" xfId="0" applyNumberFormat="1" applyFont="1" applyBorder="1"/>
    <xf numFmtId="2" fontId="12" fillId="0" borderId="62" xfId="0" applyNumberFormat="1" applyFont="1" applyBorder="1" applyAlignment="1">
      <alignment horizontal="right"/>
    </xf>
    <xf numFmtId="4" fontId="12" fillId="0" borderId="62" xfId="0" applyNumberFormat="1" applyFont="1" applyBorder="1" applyAlignment="1">
      <alignment horizontal="right"/>
    </xf>
    <xf numFmtId="2" fontId="12" fillId="0" borderId="63" xfId="0" applyNumberFormat="1" applyFont="1" applyBorder="1" applyAlignment="1">
      <alignment horizontal="right"/>
    </xf>
    <xf numFmtId="1" fontId="10" fillId="6" borderId="62" xfId="0" applyNumberFormat="1" applyFont="1" applyFill="1" applyBorder="1"/>
    <xf numFmtId="4" fontId="13" fillId="6" borderId="62" xfId="0" applyNumberFormat="1" applyFont="1" applyFill="1" applyBorder="1" applyProtection="1">
      <protection locked="0"/>
    </xf>
    <xf numFmtId="1" fontId="3" fillId="0" borderId="62" xfId="0" applyNumberFormat="1" applyFont="1" applyBorder="1" applyAlignment="1">
      <alignment horizontal="right"/>
    </xf>
    <xf numFmtId="1" fontId="10" fillId="0" borderId="62" xfId="0" applyNumberFormat="1" applyFont="1" applyBorder="1"/>
    <xf numFmtId="1" fontId="12" fillId="6" borderId="62" xfId="0" applyNumberFormat="1" applyFont="1" applyFill="1" applyBorder="1" applyAlignment="1">
      <alignment horizontal="right"/>
    </xf>
    <xf numFmtId="2" fontId="10" fillId="0" borderId="63" xfId="0" applyNumberFormat="1" applyFont="1" applyBorder="1"/>
    <xf numFmtId="4" fontId="30" fillId="11" borderId="62" xfId="0" applyNumberFormat="1" applyFont="1" applyFill="1" applyBorder="1"/>
    <xf numFmtId="4" fontId="30" fillId="0" borderId="62" xfId="0" applyNumberFormat="1" applyFont="1" applyBorder="1"/>
    <xf numFmtId="1" fontId="0" fillId="7" borderId="62" xfId="0" applyNumberFormat="1" applyFill="1" applyBorder="1"/>
    <xf numFmtId="2" fontId="12" fillId="7" borderId="62" xfId="0" applyNumberFormat="1" applyFont="1" applyFill="1" applyBorder="1"/>
    <xf numFmtId="4" fontId="12" fillId="7" borderId="62" xfId="0" applyNumberFormat="1" applyFont="1" applyFill="1" applyBorder="1"/>
    <xf numFmtId="2" fontId="12" fillId="28" borderId="63" xfId="0" applyNumberFormat="1" applyFont="1" applyFill="1" applyBorder="1"/>
    <xf numFmtId="1" fontId="3" fillId="6" borderId="62" xfId="0" applyNumberFormat="1" applyFont="1" applyFill="1" applyBorder="1"/>
    <xf numFmtId="2" fontId="10" fillId="28" borderId="63" xfId="0" applyNumberFormat="1" applyFont="1" applyFill="1" applyBorder="1" applyAlignment="1">
      <alignment horizontal="left"/>
    </xf>
    <xf numFmtId="1" fontId="10" fillId="6" borderId="62" xfId="0" applyNumberFormat="1" applyFont="1" applyFill="1" applyBorder="1" applyAlignment="1">
      <alignment horizontal="center"/>
    </xf>
    <xf numFmtId="9" fontId="5" fillId="6" borderId="62" xfId="1" applyFont="1" applyFill="1" applyBorder="1" applyAlignment="1" applyProtection="1">
      <alignment horizontal="right"/>
      <protection locked="0"/>
    </xf>
    <xf numFmtId="4" fontId="10" fillId="6" borderId="62" xfId="0" applyNumberFormat="1" applyFont="1" applyFill="1" applyBorder="1" applyAlignment="1">
      <alignment horizontal="right"/>
    </xf>
    <xf numFmtId="2" fontId="10" fillId="50" borderId="63" xfId="0" applyNumberFormat="1" applyFont="1" applyFill="1" applyBorder="1" applyAlignment="1">
      <alignment horizontal="left"/>
    </xf>
    <xf numFmtId="2" fontId="3" fillId="6" borderId="70" xfId="0" applyNumberFormat="1" applyFont="1" applyFill="1" applyBorder="1"/>
    <xf numFmtId="2" fontId="12" fillId="6" borderId="70" xfId="0" applyNumberFormat="1" applyFont="1" applyFill="1" applyBorder="1"/>
    <xf numFmtId="4" fontId="12" fillId="6" borderId="70" xfId="0" applyNumberFormat="1" applyFont="1" applyFill="1" applyBorder="1"/>
    <xf numFmtId="2" fontId="12" fillId="50" borderId="71" xfId="0" applyNumberFormat="1" applyFont="1" applyFill="1" applyBorder="1"/>
    <xf numFmtId="2" fontId="10" fillId="0" borderId="71" xfId="0" applyNumberFormat="1" applyFont="1" applyBorder="1"/>
    <xf numFmtId="4" fontId="10" fillId="0" borderId="71" xfId="0" applyNumberFormat="1" applyFont="1" applyBorder="1"/>
    <xf numFmtId="2" fontId="10" fillId="28" borderId="71" xfId="0" applyNumberFormat="1" applyFont="1" applyFill="1" applyBorder="1"/>
    <xf numFmtId="2" fontId="20" fillId="33" borderId="0" xfId="0" applyNumberFormat="1" applyFont="1" applyFill="1"/>
    <xf numFmtId="2" fontId="20" fillId="33" borderId="0" xfId="0" applyNumberFormat="1" applyFont="1" applyFill="1" applyAlignment="1">
      <alignment horizontal="left"/>
    </xf>
    <xf numFmtId="2" fontId="19" fillId="33" borderId="0" xfId="0" applyNumberFormat="1" applyFont="1" applyFill="1"/>
    <xf numFmtId="4" fontId="19" fillId="33" borderId="71" xfId="0" applyNumberFormat="1" applyFont="1" applyFill="1" applyBorder="1" applyAlignment="1">
      <alignment horizontal="left"/>
    </xf>
    <xf numFmtId="2" fontId="118" fillId="33" borderId="0" xfId="0" applyNumberFormat="1" applyFont="1" applyFill="1"/>
    <xf numFmtId="2" fontId="10" fillId="11" borderId="0" xfId="0" applyNumberFormat="1" applyFont="1" applyFill="1" applyAlignment="1">
      <alignment horizontal="left"/>
    </xf>
    <xf numFmtId="4" fontId="45" fillId="0" borderId="0" xfId="0" applyNumberFormat="1" applyFont="1" applyAlignment="1">
      <alignment horizontal="left"/>
    </xf>
    <xf numFmtId="4" fontId="10" fillId="0" borderId="6" xfId="0" applyNumberFormat="1" applyFont="1" applyBorder="1" applyAlignment="1">
      <alignment horizontal="left"/>
    </xf>
    <xf numFmtId="4" fontId="10" fillId="0" borderId="6" xfId="0" applyNumberFormat="1" applyFont="1" applyBorder="1" applyAlignment="1" applyProtection="1">
      <alignment horizontal="left"/>
      <protection locked="0"/>
    </xf>
    <xf numFmtId="4" fontId="10" fillId="34" borderId="100" xfId="0" applyNumberFormat="1" applyFont="1" applyFill="1" applyBorder="1" applyAlignment="1">
      <alignment horizontal="left"/>
    </xf>
    <xf numFmtId="4" fontId="12" fillId="34" borderId="74" xfId="0" applyNumberFormat="1" applyFont="1" applyFill="1" applyBorder="1" applyAlignment="1">
      <alignment horizontal="left"/>
    </xf>
    <xf numFmtId="4" fontId="10" fillId="34" borderId="75" xfId="0" applyNumberFormat="1" applyFont="1" applyFill="1" applyBorder="1" applyAlignment="1">
      <alignment horizontal="left"/>
    </xf>
    <xf numFmtId="4" fontId="12" fillId="34" borderId="76" xfId="1" applyNumberFormat="1" applyFont="1" applyFill="1" applyBorder="1" applyAlignment="1">
      <alignment horizontal="center"/>
    </xf>
    <xf numFmtId="175" fontId="10" fillId="0" borderId="0" xfId="0" applyNumberFormat="1" applyFont="1" applyProtection="1">
      <protection locked="0"/>
    </xf>
    <xf numFmtId="175" fontId="12" fillId="0" borderId="0" xfId="0" applyNumberFormat="1" applyFont="1"/>
    <xf numFmtId="4" fontId="10" fillId="37" borderId="104" xfId="0" applyNumberFormat="1" applyFont="1" applyFill="1" applyBorder="1" applyAlignment="1">
      <alignment horizontal="left"/>
    </xf>
    <xf numFmtId="4" fontId="10" fillId="37" borderId="105" xfId="0" applyNumberFormat="1" applyFont="1" applyFill="1" applyBorder="1" applyAlignment="1">
      <alignment horizontal="left"/>
    </xf>
    <xf numFmtId="170" fontId="12" fillId="0" borderId="0" xfId="0" applyNumberFormat="1" applyFont="1"/>
    <xf numFmtId="4" fontId="10" fillId="38" borderId="110" xfId="0" applyNumberFormat="1" applyFont="1" applyFill="1" applyBorder="1" applyAlignment="1">
      <alignment horizontal="left"/>
    </xf>
    <xf numFmtId="4" fontId="10" fillId="38" borderId="83" xfId="0" applyNumberFormat="1" applyFont="1" applyFill="1" applyBorder="1" applyAlignment="1">
      <alignment horizontal="left"/>
    </xf>
    <xf numFmtId="4" fontId="10" fillId="0" borderId="0" xfId="0" applyNumberFormat="1" applyFont="1" applyAlignment="1">
      <alignment horizontal="left"/>
    </xf>
    <xf numFmtId="4" fontId="45" fillId="0" borderId="85" xfId="0" applyNumberFormat="1" applyFont="1" applyBorder="1" applyAlignment="1">
      <alignment horizontal="left"/>
    </xf>
    <xf numFmtId="4" fontId="10" fillId="0" borderId="86" xfId="0" applyNumberFormat="1" applyFont="1" applyBorder="1" applyAlignment="1">
      <alignment horizontal="left"/>
    </xf>
    <xf numFmtId="4" fontId="10" fillId="7" borderId="111" xfId="0" applyNumberFormat="1" applyFont="1" applyFill="1" applyBorder="1" applyAlignment="1">
      <alignment horizontal="left"/>
    </xf>
    <xf numFmtId="4" fontId="10" fillId="7" borderId="112" xfId="0" applyNumberFormat="1" applyFont="1" applyFill="1" applyBorder="1" applyAlignment="1">
      <alignment horizontal="left"/>
    </xf>
    <xf numFmtId="4" fontId="10" fillId="6" borderId="113" xfId="0" applyNumberFormat="1" applyFont="1" applyFill="1" applyBorder="1" applyAlignment="1">
      <alignment horizontal="left"/>
    </xf>
    <xf numFmtId="4" fontId="10" fillId="6" borderId="114" xfId="0" applyNumberFormat="1" applyFont="1" applyFill="1" applyBorder="1" applyAlignment="1">
      <alignment horizontal="left"/>
    </xf>
    <xf numFmtId="4" fontId="10" fillId="7" borderId="113" xfId="0" applyNumberFormat="1" applyFont="1" applyFill="1" applyBorder="1" applyAlignment="1">
      <alignment horizontal="left"/>
    </xf>
    <xf numFmtId="4" fontId="10" fillId="7" borderId="114" xfId="0" applyNumberFormat="1" applyFont="1" applyFill="1" applyBorder="1" applyAlignment="1">
      <alignment horizontal="left"/>
    </xf>
    <xf numFmtId="4" fontId="3" fillId="6" borderId="114" xfId="0" applyNumberFormat="1" applyFont="1" applyFill="1" applyBorder="1" applyAlignment="1">
      <alignment horizontal="left"/>
    </xf>
    <xf numFmtId="4" fontId="45" fillId="7" borderId="113" xfId="0" applyNumberFormat="1" applyFont="1" applyFill="1" applyBorder="1" applyAlignment="1">
      <alignment horizontal="left"/>
    </xf>
    <xf numFmtId="4" fontId="45" fillId="7" borderId="114" xfId="0" applyNumberFormat="1" applyFont="1" applyFill="1" applyBorder="1" applyAlignment="1">
      <alignment horizontal="left"/>
    </xf>
    <xf numFmtId="2" fontId="45" fillId="28" borderId="0" xfId="0" applyNumberFormat="1" applyFont="1" applyFill="1"/>
    <xf numFmtId="4" fontId="10" fillId="6" borderId="115" xfId="0" applyNumberFormat="1" applyFont="1" applyFill="1" applyBorder="1" applyAlignment="1">
      <alignment horizontal="left"/>
    </xf>
    <xf numFmtId="4" fontId="45" fillId="6" borderId="116" xfId="0" applyNumberFormat="1" applyFont="1" applyFill="1" applyBorder="1" applyAlignment="1">
      <alignment horizontal="left"/>
    </xf>
    <xf numFmtId="4" fontId="10" fillId="0" borderId="0" xfId="0" applyNumberFormat="1" applyFont="1"/>
    <xf numFmtId="2" fontId="94" fillId="0" borderId="0" xfId="0" applyNumberFormat="1" applyFont="1" applyAlignment="1">
      <alignment horizontal="right"/>
    </xf>
    <xf numFmtId="4" fontId="13" fillId="6" borderId="0" xfId="1" applyNumberFormat="1" applyFont="1" applyFill="1" applyAlignment="1">
      <alignment horizontal="center"/>
    </xf>
    <xf numFmtId="4" fontId="43" fillId="46" borderId="0" xfId="0" applyNumberFormat="1" applyFont="1" applyFill="1"/>
    <xf numFmtId="2" fontId="3" fillId="0" borderId="106" xfId="0" applyNumberFormat="1" applyFont="1" applyBorder="1"/>
    <xf numFmtId="4" fontId="3" fillId="0" borderId="106" xfId="0" applyNumberFormat="1" applyFont="1" applyBorder="1"/>
    <xf numFmtId="2" fontId="3" fillId="28" borderId="106" xfId="0" applyNumberFormat="1" applyFont="1" applyFill="1" applyBorder="1"/>
    <xf numFmtId="1" fontId="10" fillId="0" borderId="106" xfId="0" applyNumberFormat="1" applyFont="1" applyBorder="1" applyAlignment="1">
      <alignment horizontal="right"/>
    </xf>
    <xf numFmtId="2" fontId="45" fillId="0" borderId="106" xfId="0" applyNumberFormat="1" applyFont="1" applyBorder="1" applyAlignment="1">
      <alignment horizontal="right"/>
    </xf>
    <xf numFmtId="4" fontId="10" fillId="0" borderId="106" xfId="0" applyNumberFormat="1" applyFont="1" applyBorder="1" applyAlignment="1">
      <alignment horizontal="left"/>
    </xf>
    <xf numFmtId="4" fontId="10" fillId="0" borderId="106" xfId="0" applyNumberFormat="1" applyFont="1" applyBorder="1"/>
    <xf numFmtId="2" fontId="10" fillId="28" borderId="106" xfId="0" applyNumberFormat="1" applyFont="1" applyFill="1" applyBorder="1"/>
    <xf numFmtId="1" fontId="10" fillId="6" borderId="106" xfId="0" applyNumberFormat="1" applyFont="1" applyFill="1" applyBorder="1" applyAlignment="1">
      <alignment horizontal="right"/>
    </xf>
    <xf numFmtId="9" fontId="10" fillId="6" borderId="106" xfId="1" applyFont="1" applyFill="1" applyBorder="1" applyAlignment="1">
      <alignment horizontal="right"/>
    </xf>
    <xf numFmtId="4" fontId="10" fillId="6" borderId="106" xfId="0" applyNumberFormat="1" applyFont="1" applyFill="1" applyBorder="1" applyAlignment="1">
      <alignment horizontal="left"/>
    </xf>
    <xf numFmtId="2" fontId="10" fillId="50" borderId="106" xfId="0" applyNumberFormat="1" applyFont="1" applyFill="1" applyBorder="1"/>
    <xf numFmtId="2" fontId="12" fillId="0" borderId="106" xfId="0" applyNumberFormat="1" applyFont="1" applyBorder="1" applyAlignment="1">
      <alignment horizontal="right"/>
    </xf>
    <xf numFmtId="2" fontId="10" fillId="6" borderId="106" xfId="0" applyNumberFormat="1" applyFont="1" applyFill="1" applyBorder="1" applyAlignment="1">
      <alignment horizontal="right"/>
    </xf>
    <xf numFmtId="4" fontId="10" fillId="6" borderId="106" xfId="0" applyNumberFormat="1" applyFont="1" applyFill="1" applyBorder="1"/>
    <xf numFmtId="4" fontId="10" fillId="0" borderId="68" xfId="0" applyNumberFormat="1" applyFont="1" applyBorder="1"/>
    <xf numFmtId="2" fontId="12" fillId="0" borderId="106" xfId="0" applyNumberFormat="1" applyFont="1" applyBorder="1"/>
    <xf numFmtId="2" fontId="10" fillId="0" borderId="106" xfId="0" applyNumberFormat="1" applyFont="1" applyBorder="1" applyAlignment="1">
      <alignment horizontal="right"/>
    </xf>
    <xf numFmtId="4" fontId="10" fillId="6" borderId="68" xfId="0" applyNumberFormat="1" applyFont="1" applyFill="1" applyBorder="1"/>
    <xf numFmtId="1" fontId="10" fillId="40" borderId="106" xfId="0" applyNumberFormat="1" applyFont="1" applyFill="1" applyBorder="1" applyAlignment="1">
      <alignment horizontal="right"/>
    </xf>
    <xf numFmtId="1" fontId="13" fillId="40" borderId="106" xfId="0" applyNumberFormat="1" applyFont="1" applyFill="1" applyBorder="1" applyAlignment="1">
      <alignment horizontal="right"/>
    </xf>
    <xf numFmtId="2" fontId="83" fillId="17" borderId="106" xfId="0" applyNumberFormat="1" applyFont="1" applyFill="1" applyBorder="1"/>
    <xf numFmtId="4" fontId="10" fillId="40" borderId="106" xfId="0" applyNumberFormat="1" applyFont="1" applyFill="1" applyBorder="1" applyAlignment="1">
      <alignment horizontal="left"/>
    </xf>
    <xf numFmtId="4" fontId="45" fillId="0" borderId="106" xfId="0" applyNumberFormat="1" applyFont="1" applyBorder="1"/>
    <xf numFmtId="2" fontId="83" fillId="51" borderId="106" xfId="0" applyNumberFormat="1" applyFont="1" applyFill="1" applyBorder="1"/>
    <xf numFmtId="4" fontId="45" fillId="40" borderId="68" xfId="0" applyNumberFormat="1" applyFont="1" applyFill="1" applyBorder="1" applyAlignment="1">
      <alignment horizontal="left"/>
    </xf>
    <xf numFmtId="4" fontId="45" fillId="0" borderId="0" xfId="0" applyNumberFormat="1" applyFont="1"/>
    <xf numFmtId="2" fontId="13" fillId="40" borderId="106" xfId="0" applyNumberFormat="1" applyFont="1" applyFill="1" applyBorder="1"/>
    <xf numFmtId="2" fontId="3" fillId="6" borderId="106" xfId="0" applyNumberFormat="1" applyFont="1" applyFill="1" applyBorder="1" applyAlignment="1">
      <alignment horizontal="right"/>
    </xf>
    <xf numFmtId="4" fontId="45" fillId="0" borderId="106" xfId="0" applyNumberFormat="1" applyFont="1" applyBorder="1" applyAlignment="1">
      <alignment horizontal="center"/>
    </xf>
    <xf numFmtId="4" fontId="10" fillId="0" borderId="68" xfId="0" applyNumberFormat="1" applyFont="1" applyBorder="1" applyAlignment="1">
      <alignment horizontal="left"/>
    </xf>
    <xf numFmtId="2" fontId="3" fillId="50" borderId="106" xfId="0" applyNumberFormat="1" applyFont="1" applyFill="1" applyBorder="1" applyAlignment="1">
      <alignment horizontal="right"/>
    </xf>
    <xf numFmtId="1" fontId="3" fillId="6" borderId="106" xfId="0" applyNumberFormat="1" applyFont="1" applyFill="1" applyBorder="1" applyAlignment="1">
      <alignment horizontal="right"/>
    </xf>
    <xf numFmtId="4" fontId="13" fillId="40" borderId="106" xfId="0" applyNumberFormat="1" applyFont="1" applyFill="1" applyBorder="1" applyAlignment="1">
      <alignment horizontal="right"/>
    </xf>
    <xf numFmtId="4" fontId="63" fillId="6" borderId="106" xfId="0" applyNumberFormat="1" applyFont="1" applyFill="1" applyBorder="1"/>
    <xf numFmtId="2" fontId="12" fillId="6" borderId="106" xfId="0" applyNumberFormat="1" applyFont="1" applyFill="1" applyBorder="1" applyAlignment="1">
      <alignment horizontal="right"/>
    </xf>
    <xf numFmtId="2" fontId="30" fillId="11" borderId="68" xfId="0" applyNumberFormat="1" applyFont="1" applyFill="1" applyBorder="1"/>
    <xf numFmtId="4" fontId="30" fillId="11" borderId="68" xfId="0" applyNumberFormat="1" applyFont="1" applyFill="1" applyBorder="1" applyAlignment="1">
      <alignment horizontal="left"/>
    </xf>
    <xf numFmtId="2" fontId="0" fillId="0" borderId="106" xfId="0" applyNumberFormat="1" applyBorder="1"/>
    <xf numFmtId="4" fontId="89" fillId="0" borderId="106" xfId="0" applyNumberFormat="1" applyFont="1" applyBorder="1" applyAlignment="1">
      <alignment horizontal="left"/>
    </xf>
    <xf numFmtId="2" fontId="12" fillId="28" borderId="106" xfId="0" applyNumberFormat="1" applyFont="1" applyFill="1" applyBorder="1"/>
    <xf numFmtId="2" fontId="3" fillId="6" borderId="106" xfId="0" applyNumberFormat="1" applyFont="1" applyFill="1" applyBorder="1"/>
    <xf numFmtId="4" fontId="10" fillId="6" borderId="106" xfId="0" applyNumberFormat="1" applyFont="1" applyFill="1" applyBorder="1" applyAlignment="1">
      <alignment horizontal="right"/>
    </xf>
    <xf numFmtId="10" fontId="10" fillId="0" borderId="106" xfId="0" applyNumberFormat="1" applyFont="1" applyBorder="1" applyAlignment="1">
      <alignment horizontal="right"/>
    </xf>
    <xf numFmtId="2" fontId="10" fillId="0" borderId="106" xfId="0" applyNumberFormat="1" applyFont="1" applyBorder="1" applyAlignment="1">
      <alignment horizontal="left"/>
    </xf>
    <xf numFmtId="4" fontId="10" fillId="0" borderId="106" xfId="0" applyNumberFormat="1" applyFont="1" applyBorder="1" applyAlignment="1">
      <alignment horizontal="right"/>
    </xf>
    <xf numFmtId="2" fontId="10" fillId="28" borderId="106" xfId="0" applyNumberFormat="1" applyFont="1" applyFill="1" applyBorder="1" applyAlignment="1">
      <alignment horizontal="left"/>
    </xf>
    <xf numFmtId="9" fontId="10" fillId="0" borderId="106" xfId="1" applyFont="1" applyBorder="1" applyAlignment="1">
      <alignment horizontal="right"/>
    </xf>
    <xf numFmtId="1" fontId="10" fillId="6" borderId="106" xfId="0" applyNumberFormat="1" applyFont="1" applyFill="1" applyBorder="1" applyAlignment="1">
      <alignment horizontal="center"/>
    </xf>
    <xf numFmtId="9" fontId="13" fillId="40" borderId="106" xfId="1" applyFont="1" applyFill="1" applyBorder="1" applyAlignment="1">
      <alignment horizontal="right"/>
    </xf>
    <xf numFmtId="2" fontId="10" fillId="6" borderId="106" xfId="0" applyNumberFormat="1" applyFont="1" applyFill="1" applyBorder="1" applyAlignment="1">
      <alignment horizontal="left"/>
    </xf>
    <xf numFmtId="2" fontId="10" fillId="50" borderId="106" xfId="0" applyNumberFormat="1" applyFont="1" applyFill="1" applyBorder="1" applyAlignment="1">
      <alignment horizontal="left"/>
    </xf>
    <xf numFmtId="1" fontId="10" fillId="0" borderId="106" xfId="0" applyNumberFormat="1" applyFont="1" applyBorder="1" applyAlignment="1">
      <alignment horizontal="center"/>
    </xf>
    <xf numFmtId="2" fontId="12" fillId="6" borderId="106" xfId="0" applyNumberFormat="1" applyFont="1" applyFill="1" applyBorder="1"/>
    <xf numFmtId="4" fontId="3" fillId="6" borderId="106" xfId="0" applyNumberFormat="1" applyFont="1" applyFill="1" applyBorder="1"/>
    <xf numFmtId="4" fontId="3" fillId="6" borderId="106" xfId="0" applyNumberFormat="1" applyFont="1" applyFill="1" applyBorder="1" applyAlignment="1">
      <alignment horizontal="right"/>
    </xf>
    <xf numFmtId="2" fontId="12" fillId="50" borderId="106" xfId="0" applyNumberFormat="1" applyFont="1" applyFill="1" applyBorder="1"/>
    <xf numFmtId="4" fontId="12" fillId="0" borderId="106" xfId="0" applyNumberFormat="1" applyFont="1" applyBorder="1"/>
    <xf numFmtId="4" fontId="90" fillId="0" borderId="106" xfId="0" applyNumberFormat="1" applyFont="1" applyBorder="1" applyAlignment="1">
      <alignment horizontal="center"/>
    </xf>
    <xf numFmtId="2" fontId="10" fillId="11" borderId="106" xfId="0" applyNumberFormat="1" applyFont="1" applyFill="1" applyBorder="1" applyAlignment="1">
      <alignment horizontal="left"/>
    </xf>
    <xf numFmtId="2" fontId="45" fillId="0" borderId="0" xfId="0" applyNumberFormat="1" applyFont="1" applyAlignment="1">
      <alignment horizontal="left"/>
    </xf>
    <xf numFmtId="2" fontId="45" fillId="42" borderId="106" xfId="0" applyNumberFormat="1" applyFont="1" applyFill="1" applyBorder="1"/>
    <xf numFmtId="2" fontId="92" fillId="43" borderId="68" xfId="0" applyNumberFormat="1" applyFont="1" applyFill="1" applyBorder="1" applyAlignment="1">
      <alignment horizontal="left"/>
    </xf>
    <xf numFmtId="2" fontId="45" fillId="0" borderId="106" xfId="0" applyNumberFormat="1" applyFont="1" applyBorder="1"/>
    <xf numFmtId="2" fontId="10" fillId="0" borderId="106" xfId="0" applyNumberFormat="1" applyFont="1" applyBorder="1" applyAlignment="1">
      <alignment horizontal="center"/>
    </xf>
    <xf numFmtId="2" fontId="94" fillId="0" borderId="106" xfId="0" applyNumberFormat="1" applyFont="1" applyBorder="1"/>
    <xf numFmtId="2" fontId="45" fillId="45" borderId="68" xfId="0" applyNumberFormat="1" applyFont="1" applyFill="1" applyBorder="1"/>
    <xf numFmtId="2" fontId="92" fillId="45" borderId="68" xfId="0" applyNumberFormat="1" applyFont="1" applyFill="1" applyBorder="1" applyAlignment="1">
      <alignment horizontal="left"/>
    </xf>
    <xf numFmtId="2" fontId="94" fillId="28" borderId="106" xfId="0" applyNumberFormat="1" applyFont="1" applyFill="1" applyBorder="1"/>
    <xf numFmtId="2" fontId="89" fillId="0" borderId="106" xfId="0" applyNumberFormat="1" applyFont="1" applyBorder="1" applyAlignment="1">
      <alignment horizontal="left"/>
    </xf>
    <xf numFmtId="2" fontId="89" fillId="0" borderId="106" xfId="0" applyNumberFormat="1" applyFont="1" applyBorder="1" applyAlignment="1">
      <alignment horizontal="right"/>
    </xf>
    <xf numFmtId="2" fontId="3" fillId="0" borderId="106" xfId="0" applyNumberFormat="1" applyFont="1" applyBorder="1" applyAlignment="1">
      <alignment horizontal="right"/>
    </xf>
    <xf numFmtId="2" fontId="94" fillId="38" borderId="106" xfId="0" applyNumberFormat="1" applyFont="1" applyFill="1" applyBorder="1"/>
    <xf numFmtId="2" fontId="119" fillId="38" borderId="106" xfId="0" applyNumberFormat="1" applyFont="1" applyFill="1" applyBorder="1" applyAlignment="1">
      <alignment horizontal="left"/>
    </xf>
    <xf numFmtId="2" fontId="20" fillId="28" borderId="106" xfId="0" applyNumberFormat="1" applyFont="1" applyFill="1" applyBorder="1"/>
    <xf numFmtId="2" fontId="120" fillId="3" borderId="0" xfId="0" applyNumberFormat="1" applyFont="1" applyFill="1"/>
    <xf numFmtId="2" fontId="10" fillId="8" borderId="23" xfId="0" applyNumberFormat="1" applyFont="1" applyFill="1" applyBorder="1"/>
    <xf numFmtId="2" fontId="10" fillId="22" borderId="23" xfId="0" applyNumberFormat="1" applyFont="1" applyFill="1" applyBorder="1"/>
    <xf numFmtId="2" fontId="10" fillId="22" borderId="120" xfId="0" applyNumberFormat="1" applyFont="1" applyFill="1" applyBorder="1"/>
    <xf numFmtId="2" fontId="2" fillId="0" borderId="0" xfId="2" applyNumberFormat="1" applyAlignment="1"/>
    <xf numFmtId="2" fontId="90" fillId="0" borderId="0" xfId="0" applyNumberFormat="1" applyFont="1"/>
    <xf numFmtId="168" fontId="10" fillId="0" borderId="0" xfId="0" applyNumberFormat="1" applyFont="1"/>
    <xf numFmtId="4" fontId="10" fillId="29" borderId="62" xfId="0" applyNumberFormat="1" applyFont="1" applyFill="1" applyBorder="1"/>
    <xf numFmtId="4" fontId="10" fillId="6" borderId="65" xfId="0" applyNumberFormat="1" applyFont="1" applyFill="1" applyBorder="1"/>
    <xf numFmtId="4" fontId="10" fillId="7" borderId="66" xfId="0" applyNumberFormat="1" applyFont="1" applyFill="1" applyBorder="1"/>
    <xf numFmtId="4" fontId="75" fillId="32" borderId="5" xfId="0" applyNumberFormat="1" applyFont="1" applyFill="1" applyBorder="1"/>
    <xf numFmtId="4" fontId="10" fillId="6" borderId="66" xfId="0" applyNumberFormat="1" applyFont="1" applyFill="1" applyBorder="1"/>
    <xf numFmtId="4" fontId="13" fillId="7" borderId="62" xfId="0" applyNumberFormat="1" applyFont="1" applyFill="1" applyBorder="1" applyProtection="1">
      <protection locked="0"/>
    </xf>
    <xf numFmtId="4" fontId="45" fillId="6" borderId="62" xfId="0" applyNumberFormat="1" applyFont="1" applyFill="1" applyBorder="1"/>
    <xf numFmtId="4" fontId="45" fillId="7" borderId="62" xfId="0" applyNumberFormat="1" applyFont="1" applyFill="1" applyBorder="1"/>
    <xf numFmtId="2" fontId="0" fillId="0" borderId="0" xfId="0" applyNumberFormat="1"/>
    <xf numFmtId="17" fontId="125" fillId="6" borderId="0" xfId="0" applyNumberFormat="1" applyFont="1" applyFill="1" applyAlignment="1">
      <alignment horizontal="center"/>
    </xf>
    <xf numFmtId="10" fontId="125" fillId="6" borderId="0" xfId="1" applyNumberFormat="1" applyFont="1" applyFill="1" applyAlignment="1">
      <alignment horizontal="center"/>
    </xf>
    <xf numFmtId="2" fontId="125" fillId="6" borderId="0" xfId="0" applyNumberFormat="1" applyFont="1" applyFill="1" applyAlignment="1">
      <alignment horizontal="center"/>
    </xf>
    <xf numFmtId="176" fontId="10" fillId="0" borderId="68" xfId="1" applyNumberFormat="1" applyFont="1" applyBorder="1" applyAlignment="1">
      <alignment horizontal="left"/>
    </xf>
    <xf numFmtId="2" fontId="10" fillId="11" borderId="0" xfId="0" applyNumberFormat="1" applyFont="1" applyFill="1"/>
    <xf numFmtId="0" fontId="48" fillId="0" borderId="0" xfId="0" applyFont="1"/>
    <xf numFmtId="2" fontId="126" fillId="10" borderId="0" xfId="0" applyNumberFormat="1" applyFont="1" applyFill="1"/>
    <xf numFmtId="2" fontId="99" fillId="0" borderId="33" xfId="0" applyNumberFormat="1" applyFont="1" applyBorder="1" applyProtection="1">
      <protection locked="0"/>
    </xf>
    <xf numFmtId="1" fontId="7" fillId="0" borderId="33" xfId="0" applyNumberFormat="1" applyFont="1" applyBorder="1" applyProtection="1">
      <protection locked="0"/>
    </xf>
    <xf numFmtId="2" fontId="0" fillId="0" borderId="0" xfId="0" applyNumberFormat="1"/>
    <xf numFmtId="2" fontId="19" fillId="0" borderId="0" xfId="0" applyNumberFormat="1" applyFont="1"/>
    <xf numFmtId="1" fontId="63" fillId="6" borderId="0" xfId="0" applyNumberFormat="1" applyFont="1" applyFill="1" applyBorder="1" applyProtection="1">
      <protection locked="0"/>
    </xf>
    <xf numFmtId="2" fontId="10" fillId="7" borderId="0" xfId="0" applyNumberFormat="1" applyFont="1" applyFill="1" applyBorder="1"/>
    <xf numFmtId="2" fontId="10" fillId="0" borderId="71" xfId="0" applyNumberFormat="1" applyFont="1" applyFill="1" applyBorder="1"/>
    <xf numFmtId="2" fontId="10" fillId="5" borderId="71" xfId="0" applyNumberFormat="1" applyFont="1" applyFill="1" applyBorder="1"/>
    <xf numFmtId="2" fontId="10" fillId="56" borderId="71" xfId="0" applyNumberFormat="1" applyFont="1" applyFill="1" applyBorder="1"/>
    <xf numFmtId="2" fontId="10" fillId="55" borderId="62" xfId="0" applyNumberFormat="1" applyFont="1" applyFill="1" applyBorder="1"/>
    <xf numFmtId="2" fontId="10" fillId="5" borderId="63" xfId="0" applyNumberFormat="1" applyFont="1" applyFill="1" applyBorder="1"/>
    <xf numFmtId="0" fontId="127" fillId="57" borderId="122" xfId="0" applyFont="1" applyFill="1" applyBorder="1" applyAlignment="1">
      <alignment horizontal="left" vertical="center" wrapText="1"/>
    </xf>
    <xf numFmtId="4" fontId="77" fillId="47" borderId="62" xfId="0" applyNumberFormat="1" applyFont="1" applyFill="1" applyBorder="1"/>
    <xf numFmtId="4" fontId="77" fillId="47" borderId="121" xfId="0" applyNumberFormat="1" applyFont="1" applyFill="1" applyBorder="1"/>
    <xf numFmtId="1" fontId="77" fillId="47" borderId="64" xfId="0" applyNumberFormat="1" applyFont="1" applyFill="1" applyBorder="1"/>
    <xf numFmtId="1" fontId="77" fillId="58" borderId="64" xfId="0" applyNumberFormat="1" applyFont="1" applyFill="1" applyBorder="1"/>
    <xf numFmtId="1" fontId="77" fillId="11" borderId="0" xfId="0" applyNumberFormat="1" applyFont="1" applyFill="1" applyBorder="1"/>
    <xf numFmtId="1" fontId="77" fillId="58" borderId="0" xfId="0" applyNumberFormat="1" applyFont="1" applyFill="1" applyBorder="1"/>
    <xf numFmtId="1" fontId="77" fillId="11" borderId="68" xfId="0" applyNumberFormat="1" applyFont="1" applyFill="1" applyBorder="1" applyAlignment="1">
      <alignment horizontal="right"/>
    </xf>
    <xf numFmtId="2" fontId="77" fillId="47" borderId="62" xfId="0" applyNumberFormat="1" applyFont="1" applyFill="1" applyBorder="1"/>
    <xf numFmtId="9" fontId="129" fillId="11" borderId="0" xfId="1" applyNumberFormat="1" applyFont="1" applyFill="1" applyAlignment="1">
      <alignment horizontal="center"/>
    </xf>
    <xf numFmtId="4" fontId="77" fillId="58" borderId="62" xfId="0" applyNumberFormat="1" applyFont="1" applyFill="1" applyBorder="1" applyAlignment="1">
      <alignment horizontal="center"/>
    </xf>
    <xf numFmtId="1" fontId="3" fillId="0" borderId="68" xfId="0" applyNumberFormat="1" applyFont="1" applyBorder="1" applyAlignment="1">
      <alignment horizontal="center"/>
    </xf>
    <xf numFmtId="164" fontId="12" fillId="0" borderId="68" xfId="0" applyNumberFormat="1" applyFont="1" applyBorder="1" applyAlignment="1">
      <alignment horizontal="right"/>
    </xf>
    <xf numFmtId="1" fontId="128" fillId="47" borderId="62" xfId="0" applyNumberFormat="1" applyFont="1" applyFill="1" applyBorder="1" applyAlignment="1">
      <alignment horizontal="right"/>
    </xf>
    <xf numFmtId="1" fontId="130" fillId="55" borderId="62" xfId="0" applyNumberFormat="1" applyFont="1" applyFill="1" applyBorder="1" applyAlignment="1">
      <alignment horizontal="right"/>
    </xf>
    <xf numFmtId="2" fontId="130" fillId="55" borderId="62" xfId="0" applyNumberFormat="1" applyFont="1" applyFill="1" applyBorder="1" applyAlignment="1">
      <alignment horizontal="left"/>
    </xf>
    <xf numFmtId="1" fontId="130" fillId="0" borderId="62" xfId="0" applyNumberFormat="1" applyFont="1" applyFill="1" applyBorder="1" applyAlignment="1">
      <alignment horizontal="right"/>
    </xf>
    <xf numFmtId="2" fontId="130" fillId="0" borderId="62" xfId="0" applyNumberFormat="1" applyFont="1" applyFill="1" applyBorder="1" applyAlignment="1">
      <alignment horizontal="left"/>
    </xf>
    <xf numFmtId="2" fontId="30" fillId="47" borderId="62" xfId="0" applyNumberFormat="1" applyFont="1" applyFill="1" applyBorder="1"/>
    <xf numFmtId="4" fontId="30" fillId="58" borderId="62" xfId="0" applyNumberFormat="1" applyFont="1" applyFill="1" applyBorder="1" applyAlignment="1">
      <alignment horizontal="center"/>
    </xf>
    <xf numFmtId="1" fontId="77" fillId="47" borderId="62" xfId="0" applyNumberFormat="1" applyFont="1" applyFill="1" applyBorder="1" applyAlignment="1">
      <alignment horizontal="right"/>
    </xf>
    <xf numFmtId="1" fontId="10" fillId="6" borderId="0" xfId="0" applyNumberFormat="1" applyFont="1" applyFill="1" applyBorder="1" applyAlignment="1">
      <alignment horizontal="right"/>
    </xf>
    <xf numFmtId="2" fontId="10" fillId="0" borderId="0" xfId="0" applyNumberFormat="1" applyFont="1" applyBorder="1"/>
    <xf numFmtId="4" fontId="10" fillId="6" borderId="0" xfId="0" applyNumberFormat="1" applyFont="1" applyFill="1" applyBorder="1" applyAlignment="1">
      <alignment horizontal="left"/>
    </xf>
    <xf numFmtId="1" fontId="30" fillId="11" borderId="62" xfId="0" applyNumberFormat="1" applyFont="1" applyFill="1" applyBorder="1"/>
    <xf numFmtId="1" fontId="77" fillId="58" borderId="62" xfId="0" applyNumberFormat="1" applyFont="1" applyFill="1" applyBorder="1" applyAlignment="1">
      <alignment horizontal="right"/>
    </xf>
    <xf numFmtId="1" fontId="77" fillId="11" borderId="62" xfId="0" applyNumberFormat="1" applyFont="1" applyFill="1" applyBorder="1" applyAlignment="1">
      <alignment horizontal="right"/>
    </xf>
    <xf numFmtId="1" fontId="77" fillId="11" borderId="62" xfId="0" applyNumberFormat="1" applyFont="1" applyFill="1" applyBorder="1"/>
    <xf numFmtId="4" fontId="30" fillId="58" borderId="62" xfId="0" applyNumberFormat="1" applyFont="1" applyFill="1" applyBorder="1"/>
    <xf numFmtId="9" fontId="131" fillId="11" borderId="0" xfId="1" applyNumberFormat="1" applyFont="1" applyFill="1" applyAlignment="1">
      <alignment horizontal="center"/>
    </xf>
    <xf numFmtId="166" fontId="64" fillId="0" borderId="123" xfId="1" applyNumberFormat="1" applyFont="1" applyFill="1" applyBorder="1" applyAlignment="1" applyProtection="1">
      <protection locked="0"/>
    </xf>
    <xf numFmtId="4" fontId="133" fillId="26" borderId="107" xfId="1" applyNumberFormat="1" applyFont="1" applyFill="1" applyBorder="1" applyAlignment="1">
      <alignment horizontal="center"/>
    </xf>
    <xf numFmtId="166" fontId="14" fillId="59" borderId="0" xfId="1" applyNumberFormat="1" applyFont="1" applyFill="1" applyBorder="1" applyAlignment="1" applyProtection="1">
      <alignment horizontal="center"/>
      <protection locked="0"/>
    </xf>
    <xf numFmtId="166" fontId="13" fillId="26" borderId="0" xfId="0" applyNumberFormat="1" applyFont="1" applyFill="1" applyBorder="1"/>
    <xf numFmtId="2" fontId="0" fillId="0" borderId="0" xfId="0" applyNumberFormat="1"/>
    <xf numFmtId="2" fontId="19" fillId="0" borderId="0" xfId="0" applyNumberFormat="1" applyFont="1"/>
    <xf numFmtId="168" fontId="10" fillId="0" borderId="68" xfId="0" applyNumberFormat="1" applyFont="1" applyBorder="1"/>
    <xf numFmtId="2" fontId="134" fillId="60" borderId="0" xfId="0" applyNumberFormat="1" applyFont="1" applyFill="1"/>
    <xf numFmtId="2" fontId="10" fillId="60" borderId="0" xfId="0" applyNumberFormat="1" applyFont="1" applyFill="1"/>
    <xf numFmtId="2" fontId="135" fillId="61" borderId="0" xfId="0" applyNumberFormat="1" applyFont="1" applyFill="1" applyAlignment="1">
      <alignment vertical="center"/>
    </xf>
    <xf numFmtId="2" fontId="19" fillId="61" borderId="0" xfId="0" applyNumberFormat="1" applyFont="1" applyFill="1" applyAlignment="1">
      <alignment vertical="center"/>
    </xf>
    <xf numFmtId="17" fontId="125" fillId="62" borderId="0" xfId="0" applyNumberFormat="1" applyFont="1" applyFill="1" applyAlignment="1">
      <alignment horizontal="center"/>
    </xf>
    <xf numFmtId="10" fontId="125" fillId="62" borderId="0" xfId="1" applyNumberFormat="1" applyFont="1" applyFill="1" applyAlignment="1">
      <alignment horizontal="center"/>
    </xf>
    <xf numFmtId="2" fontId="13" fillId="62" borderId="0" xfId="0" applyNumberFormat="1" applyFont="1" applyFill="1" applyAlignment="1">
      <alignment horizontal="center"/>
    </xf>
    <xf numFmtId="2" fontId="136" fillId="10" borderId="0" xfId="0" applyNumberFormat="1" applyFont="1" applyFill="1" applyAlignment="1">
      <alignment vertical="center"/>
    </xf>
    <xf numFmtId="2" fontId="43" fillId="8" borderId="118" xfId="0" applyNumberFormat="1" applyFont="1" applyFill="1" applyBorder="1"/>
    <xf numFmtId="2" fontId="0" fillId="0" borderId="0" xfId="0" applyNumberFormat="1"/>
    <xf numFmtId="2" fontId="121" fillId="8" borderId="118" xfId="2" applyNumberFormat="1" applyFont="1" applyFill="1" applyBorder="1" applyAlignment="1"/>
    <xf numFmtId="2" fontId="110" fillId="0" borderId="0" xfId="0" applyNumberFormat="1" applyFont="1"/>
    <xf numFmtId="2" fontId="122" fillId="8" borderId="119" xfId="0" applyNumberFormat="1" applyFont="1" applyFill="1" applyBorder="1"/>
    <xf numFmtId="2" fontId="48" fillId="0" borderId="120" xfId="0" applyNumberFormat="1" applyFont="1" applyBorder="1"/>
    <xf numFmtId="2" fontId="122" fillId="54" borderId="0" xfId="0" applyNumberFormat="1" applyFont="1" applyFill="1"/>
    <xf numFmtId="2" fontId="12" fillId="0" borderId="9" xfId="0" applyNumberFormat="1" applyFont="1" applyBorder="1"/>
    <xf numFmtId="2" fontId="48" fillId="0" borderId="28" xfId="0" applyNumberFormat="1" applyFont="1" applyBorder="1"/>
    <xf numFmtId="2" fontId="3" fillId="38" borderId="61" xfId="0" applyNumberFormat="1" applyFont="1" applyFill="1" applyBorder="1"/>
    <xf numFmtId="2" fontId="113" fillId="8" borderId="0" xfId="0" applyNumberFormat="1" applyFont="1" applyFill="1"/>
    <xf numFmtId="2" fontId="19" fillId="0" borderId="0" xfId="0" applyNumberFormat="1" applyFont="1"/>
    <xf numFmtId="2" fontId="43" fillId="8" borderId="117" xfId="0" applyNumberFormat="1" applyFont="1" applyFill="1" applyBorder="1"/>
    <xf numFmtId="2" fontId="48" fillId="0" borderId="23" xfId="0" applyNumberFormat="1" applyFont="1" applyBorder="1"/>
    <xf numFmtId="2" fontId="12" fillId="0" borderId="42" xfId="0" applyNumberFormat="1" applyFont="1" applyBorder="1"/>
    <xf numFmtId="2" fontId="65" fillId="25" borderId="44" xfId="0" applyNumberFormat="1" applyFont="1" applyFill="1" applyBorder="1"/>
    <xf numFmtId="2" fontId="19" fillId="0" borderId="44" xfId="0" applyNumberFormat="1" applyFont="1" applyBorder="1"/>
    <xf numFmtId="2" fontId="10" fillId="0" borderId="53" xfId="0" applyNumberFormat="1" applyFont="1" applyBorder="1" applyAlignment="1">
      <alignment horizontal="left"/>
    </xf>
    <xf numFmtId="2" fontId="48" fillId="0" borderId="2" xfId="0" applyNumberFormat="1" applyFont="1" applyBorder="1"/>
    <xf numFmtId="2" fontId="3" fillId="0" borderId="61" xfId="0" applyNumberFormat="1" applyFont="1" applyBorder="1"/>
    <xf numFmtId="2" fontId="3" fillId="0" borderId="0" xfId="0" applyNumberFormat="1" applyFont="1"/>
    <xf numFmtId="2" fontId="103" fillId="0" borderId="0" xfId="0" applyNumberFormat="1" applyFont="1"/>
    <xf numFmtId="2" fontId="7" fillId="0" borderId="0" xfId="0" applyNumberFormat="1" applyFont="1"/>
    <xf numFmtId="2" fontId="19" fillId="0" borderId="4" xfId="0" applyNumberFormat="1" applyFont="1" applyBorder="1"/>
    <xf numFmtId="2" fontId="48" fillId="0" borderId="4" xfId="0" applyNumberFormat="1" applyFont="1" applyBorder="1"/>
    <xf numFmtId="2" fontId="3" fillId="0" borderId="39" xfId="0" applyNumberFormat="1" applyFont="1" applyBorder="1"/>
    <xf numFmtId="2" fontId="0" fillId="0" borderId="40" xfId="0" applyNumberFormat="1" applyBorder="1"/>
    <xf numFmtId="2" fontId="28" fillId="0" borderId="0" xfId="0" applyNumberFormat="1" applyFont="1"/>
    <xf numFmtId="2" fontId="44" fillId="3" borderId="26" xfId="0" applyNumberFormat="1" applyFont="1" applyFill="1" applyBorder="1"/>
    <xf numFmtId="2" fontId="10" fillId="0" borderId="26" xfId="0" applyNumberFormat="1" applyFont="1" applyBorder="1"/>
    <xf numFmtId="2" fontId="47" fillId="0" borderId="9" xfId="0" applyNumberFormat="1" applyFont="1" applyBorder="1"/>
    <xf numFmtId="178" fontId="45" fillId="0" borderId="106" xfId="0" applyNumberFormat="1" applyFont="1" applyBorder="1"/>
    <xf numFmtId="0" fontId="137" fillId="57" borderId="122" xfId="0" applyFont="1" applyFill="1" applyBorder="1" applyAlignment="1">
      <alignment horizontal="left" vertical="center" wrapText="1"/>
    </xf>
    <xf numFmtId="2" fontId="0" fillId="0" borderId="68" xfId="0" quotePrefix="1" applyNumberFormat="1" applyBorder="1" applyAlignment="1">
      <alignment horizontal="left"/>
    </xf>
    <xf numFmtId="166" fontId="129" fillId="11" borderId="0" xfId="1" applyNumberFormat="1" applyFont="1" applyFill="1" applyAlignment="1">
      <alignment horizontal="center"/>
    </xf>
    <xf numFmtId="2" fontId="75" fillId="31" borderId="0" xfId="0" applyNumberFormat="1" applyFont="1" applyFill="1" applyBorder="1"/>
    <xf numFmtId="4" fontId="75" fillId="32" borderId="0" xfId="0" applyNumberFormat="1" applyFont="1" applyFill="1" applyBorder="1"/>
    <xf numFmtId="2" fontId="75" fillId="32" borderId="0" xfId="0" applyNumberFormat="1" applyFont="1" applyFill="1" applyBorder="1"/>
    <xf numFmtId="1" fontId="33" fillId="13" borderId="68" xfId="0" applyNumberFormat="1" applyFont="1" applyFill="1" applyBorder="1" applyAlignment="1">
      <alignment horizontal="right"/>
    </xf>
    <xf numFmtId="1" fontId="63" fillId="13" borderId="0" xfId="0" applyNumberFormat="1" applyFont="1" applyFill="1" applyBorder="1" applyAlignment="1" applyProtection="1">
      <alignment horizontal="right"/>
      <protection locked="0"/>
    </xf>
    <xf numFmtId="4" fontId="75" fillId="63" borderId="5" xfId="0" applyNumberFormat="1" applyFont="1" applyFill="1" applyBorder="1"/>
    <xf numFmtId="4" fontId="33" fillId="31" borderId="0" xfId="0" applyNumberFormat="1" applyFont="1" applyFill="1" applyBorder="1" applyAlignment="1">
      <alignment horizontal="left"/>
    </xf>
    <xf numFmtId="1" fontId="33" fillId="13" borderId="0" xfId="0" applyNumberFormat="1" applyFont="1" applyFill="1" applyBorder="1" applyAlignment="1">
      <alignment horizontal="center"/>
    </xf>
    <xf numFmtId="1" fontId="13" fillId="13" borderId="0" xfId="0" applyNumberFormat="1" applyFont="1" applyFill="1" applyBorder="1" applyAlignment="1" applyProtection="1">
      <alignment horizontal="right"/>
      <protection locked="0"/>
    </xf>
    <xf numFmtId="4" fontId="33" fillId="13" borderId="68" xfId="0" applyNumberFormat="1" applyFont="1" applyFill="1" applyBorder="1" applyAlignment="1">
      <alignment horizontal="left"/>
    </xf>
    <xf numFmtId="4" fontId="43" fillId="64" borderId="63" xfId="0" applyNumberFormat="1" applyFont="1" applyFill="1" applyBorder="1" applyAlignment="1">
      <alignment horizontal="left"/>
    </xf>
    <xf numFmtId="4" fontId="45" fillId="40" borderId="0" xfId="0" applyNumberFormat="1" applyFont="1" applyFill="1" applyBorder="1" applyAlignment="1">
      <alignment horizontal="left"/>
    </xf>
    <xf numFmtId="1" fontId="33" fillId="13" borderId="0" xfId="0" applyNumberFormat="1" applyFont="1" applyFill="1" applyBorder="1" applyAlignment="1">
      <alignment horizontal="right"/>
    </xf>
    <xf numFmtId="2" fontId="33" fillId="13" borderId="0" xfId="0" applyNumberFormat="1" applyFont="1" applyFill="1" applyBorder="1"/>
    <xf numFmtId="4" fontId="45" fillId="65" borderId="0" xfId="0" applyNumberFormat="1" applyFont="1" applyFill="1" applyBorder="1" applyAlignment="1">
      <alignment horizontal="left"/>
    </xf>
    <xf numFmtId="4" fontId="33" fillId="66" borderId="62" xfId="0" applyNumberFormat="1" applyFont="1" applyFill="1" applyBorder="1"/>
    <xf numFmtId="1" fontId="33" fillId="13" borderId="68" xfId="0" applyNumberFormat="1" applyFont="1" applyFill="1" applyBorder="1" applyAlignment="1">
      <alignment horizontal="center"/>
    </xf>
    <xf numFmtId="2" fontId="33" fillId="13" borderId="68" xfId="0" applyNumberFormat="1" applyFont="1" applyFill="1" applyBorder="1"/>
    <xf numFmtId="2" fontId="33" fillId="13" borderId="68" xfId="0" applyNumberFormat="1" applyFont="1" applyFill="1" applyBorder="1" applyAlignment="1">
      <alignment horizontal="left"/>
    </xf>
    <xf numFmtId="6" fontId="138" fillId="0" borderId="124" xfId="0" applyNumberFormat="1" applyFont="1" applyBorder="1"/>
    <xf numFmtId="6" fontId="138" fillId="0" borderId="125" xfId="0" applyNumberFormat="1" applyFont="1" applyBorder="1"/>
    <xf numFmtId="10" fontId="35" fillId="5" borderId="0" xfId="1" applyNumberFormat="1" applyFont="1" applyFill="1" applyAlignment="1">
      <alignment horizontal="center"/>
    </xf>
    <xf numFmtId="166" fontId="34" fillId="15" borderId="0" xfId="1" applyNumberFormat="1" applyFont="1" applyFill="1" applyAlignment="1">
      <alignment horizontal="center"/>
    </xf>
    <xf numFmtId="166" fontId="31" fillId="11" borderId="0" xfId="1" applyNumberFormat="1" applyFont="1" applyFill="1" applyAlignment="1">
      <alignment horizontal="center"/>
    </xf>
    <xf numFmtId="4" fontId="139" fillId="33" borderId="71" xfId="0" applyNumberFormat="1" applyFont="1" applyFill="1" applyBorder="1" applyAlignment="1">
      <alignment horizontal="left"/>
    </xf>
    <xf numFmtId="4" fontId="31" fillId="58" borderId="62" xfId="0" applyNumberFormat="1" applyFont="1" applyFill="1" applyBorder="1" applyAlignment="1">
      <alignment horizontal="center"/>
    </xf>
    <xf numFmtId="2" fontId="140" fillId="0" borderId="0" xfId="2" applyNumberFormat="1" applyFont="1"/>
  </cellXfs>
  <cellStyles count="3">
    <cellStyle name="Hipervínculo" xfId="2" builtinId="8"/>
    <cellStyle name="Normal" xfId="0" builtinId="0"/>
    <cellStyle name="Porcentaje" xfId="1" builtinId="5"/>
  </cellStyles>
  <dxfs count="7"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</dxfs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www.agmeruruguay.com.ar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huttvictor@gmail.com" TargetMode="External"/><Relationship Id="rId1" Type="http://schemas.openxmlformats.org/officeDocument/2006/relationships/hyperlink" Target="about:blank" TargetMode="External"/><Relationship Id="rId6" Type="http://schemas.openxmlformats.org/officeDocument/2006/relationships/hyperlink" Target="https://www.youtube.com/watch?v=V6Y18dRL1ww" TargetMode="External"/><Relationship Id="rId5" Type="http://schemas.openxmlformats.org/officeDocument/2006/relationships/hyperlink" Target="http://www.victorhutt.com.ar/" TargetMode="External"/><Relationship Id="rId4" Type="http://schemas.openxmlformats.org/officeDocument/2006/relationships/hyperlink" Target="https://www.facebook.com/agmeruruguay-188015884570012/" TargetMode="External"/><Relationship Id="rId9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7C6EC-89FB-4215-8AF6-3DA545D73733}">
  <dimension ref="A1:AF484"/>
  <sheetViews>
    <sheetView tabSelected="1" zoomScale="70" zoomScaleNormal="70" workbookViewId="0">
      <pane ySplit="1" topLeftCell="A2" activePane="bottomLeft" state="frozen"/>
      <selection pane="bottomLeft"/>
    </sheetView>
  </sheetViews>
  <sheetFormatPr baseColWidth="10" defaultRowHeight="15"/>
  <cols>
    <col min="1" max="1" width="13.7109375" customWidth="1"/>
    <col min="2" max="2" width="13.28515625" customWidth="1"/>
    <col min="3" max="3" width="26.140625" customWidth="1"/>
    <col min="4" max="4" width="37.28515625" bestFit="1" customWidth="1"/>
    <col min="5" max="5" width="36.28515625" customWidth="1"/>
    <col min="6" max="6" width="31.5703125" customWidth="1"/>
    <col min="7" max="7" width="18.140625" customWidth="1"/>
    <col min="8" max="8" width="28.42578125" customWidth="1"/>
    <col min="9" max="9" width="28" customWidth="1"/>
    <col min="10" max="10" width="20.5703125" customWidth="1"/>
    <col min="11" max="11" width="28.7109375" customWidth="1"/>
    <col min="12" max="12" width="28" customWidth="1"/>
    <col min="13" max="13" width="21.85546875" customWidth="1"/>
    <col min="14" max="14" width="32.7109375" customWidth="1"/>
    <col min="15" max="15" width="22.85546875" customWidth="1"/>
    <col min="16" max="16" width="18.42578125" customWidth="1"/>
    <col min="17" max="17" width="28.140625" customWidth="1"/>
    <col min="18" max="18" width="18.140625" customWidth="1"/>
    <col min="19" max="19" width="21.42578125" customWidth="1"/>
    <col min="20" max="20" width="23" customWidth="1"/>
    <col min="21" max="21" width="21" customWidth="1"/>
  </cols>
  <sheetData>
    <row r="1" spans="1:32" ht="20.25">
      <c r="A1" s="19"/>
      <c r="B1" s="20"/>
      <c r="C1" s="20"/>
      <c r="D1" s="21"/>
      <c r="E1" s="866">
        <v>46266</v>
      </c>
      <c r="F1" s="867">
        <f>Aumentoseptiembre26</f>
        <v>0.10336174999999992</v>
      </c>
      <c r="G1" s="868"/>
      <c r="H1" s="807">
        <v>46204</v>
      </c>
      <c r="I1" s="808">
        <f>Aumentojulio26</f>
        <v>6.6049999999999942E-2</v>
      </c>
      <c r="J1" s="21"/>
      <c r="K1" s="807">
        <v>46143</v>
      </c>
      <c r="L1" s="808">
        <v>3.5000000000000003E-2</v>
      </c>
      <c r="M1" s="809"/>
      <c r="N1" s="807">
        <v>46054</v>
      </c>
      <c r="O1" s="808">
        <v>0</v>
      </c>
      <c r="P1" s="809"/>
      <c r="Q1" s="807">
        <v>45992</v>
      </c>
      <c r="R1" s="22"/>
      <c r="S1" s="21"/>
      <c r="T1" s="22"/>
      <c r="U1" s="23"/>
      <c r="V1" s="21"/>
      <c r="W1" s="22"/>
      <c r="X1" s="23"/>
      <c r="Y1" s="21"/>
      <c r="Z1" s="22"/>
      <c r="AA1" s="23"/>
      <c r="AB1" s="21"/>
      <c r="AC1" s="22"/>
    </row>
    <row r="2" spans="1:32" ht="27.75">
      <c r="A2" s="24" t="s">
        <v>387</v>
      </c>
      <c r="B2" s="25"/>
      <c r="C2" s="25"/>
      <c r="D2" s="25"/>
      <c r="E2" s="25"/>
      <c r="F2" s="25"/>
      <c r="G2" s="25"/>
      <c r="H2" s="25"/>
      <c r="I2" s="25"/>
      <c r="J2" s="25"/>
      <c r="K2" s="26"/>
      <c r="L2" s="27" t="s">
        <v>388</v>
      </c>
      <c r="M2" s="27"/>
      <c r="N2" s="26"/>
      <c r="O2" s="27" t="s">
        <v>388</v>
      </c>
      <c r="P2" s="27"/>
      <c r="Q2" s="27"/>
      <c r="R2" s="27"/>
      <c r="S2" s="28"/>
      <c r="T2" s="29"/>
      <c r="U2" s="30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ht="26.25">
      <c r="A3" s="864"/>
      <c r="B3" s="865"/>
      <c r="C3" s="865"/>
      <c r="D3" s="865"/>
      <c r="E3" s="32" t="s">
        <v>576</v>
      </c>
      <c r="F3" s="33"/>
      <c r="G3" s="34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32" ht="30">
      <c r="A4" s="869" t="s">
        <v>574</v>
      </c>
      <c r="B4" s="813"/>
      <c r="C4" s="813"/>
      <c r="D4" s="862" t="s">
        <v>575</v>
      </c>
      <c r="E4" s="863"/>
      <c r="F4" s="863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</row>
    <row r="5" spans="1:32" ht="16.5" thickBot="1">
      <c r="A5" s="36" t="s">
        <v>389</v>
      </c>
      <c r="B5" s="37"/>
      <c r="C5" s="31"/>
      <c r="D5" s="38">
        <v>1</v>
      </c>
      <c r="E5" s="38">
        <v>2</v>
      </c>
      <c r="F5" s="38">
        <v>3</v>
      </c>
      <c r="G5" s="38">
        <v>4</v>
      </c>
      <c r="H5" s="38">
        <v>5</v>
      </c>
      <c r="I5" s="38">
        <v>6</v>
      </c>
      <c r="J5" s="38">
        <v>7</v>
      </c>
      <c r="K5" s="39">
        <v>8</v>
      </c>
      <c r="L5" s="38">
        <v>9</v>
      </c>
      <c r="M5" s="38">
        <v>10</v>
      </c>
      <c r="N5" s="38">
        <v>11</v>
      </c>
      <c r="O5" s="39">
        <v>12</v>
      </c>
      <c r="P5" s="38">
        <v>13</v>
      </c>
      <c r="Q5" s="39">
        <v>14</v>
      </c>
      <c r="R5" s="38">
        <v>15</v>
      </c>
      <c r="S5" s="38">
        <v>16</v>
      </c>
      <c r="T5" s="38">
        <v>17</v>
      </c>
      <c r="U5" s="38">
        <v>18</v>
      </c>
      <c r="V5" s="38">
        <v>19</v>
      </c>
      <c r="W5" s="38">
        <v>20</v>
      </c>
    </row>
    <row r="6" spans="1:32" ht="27" thickTop="1">
      <c r="A6" s="40"/>
      <c r="B6" s="41"/>
      <c r="C6" s="41"/>
      <c r="D6" s="42"/>
      <c r="E6" s="43" t="s">
        <v>390</v>
      </c>
      <c r="F6" s="924">
        <v>726469</v>
      </c>
      <c r="G6" s="44" t="s">
        <v>577</v>
      </c>
      <c r="H6" s="811"/>
      <c r="I6" s="31"/>
      <c r="J6" s="31"/>
      <c r="K6" s="31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</row>
    <row r="7" spans="1:32" ht="27" thickBot="1">
      <c r="A7" s="897" t="s">
        <v>391</v>
      </c>
      <c r="B7" s="871"/>
      <c r="C7" s="871"/>
      <c r="D7" s="31"/>
      <c r="E7" s="46" t="s">
        <v>392</v>
      </c>
      <c r="F7" s="925">
        <v>1605497</v>
      </c>
      <c r="G7" s="44" t="s">
        <v>577</v>
      </c>
      <c r="H7" s="811"/>
      <c r="I7" s="31"/>
      <c r="J7" s="31"/>
      <c r="K7" s="812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</row>
    <row r="8" spans="1:32" ht="24" thickTop="1">
      <c r="A8" s="19" t="s">
        <v>393</v>
      </c>
      <c r="B8" s="47"/>
      <c r="C8" s="47"/>
      <c r="D8" s="31"/>
      <c r="E8" s="48"/>
      <c r="F8" s="48"/>
      <c r="G8" s="48"/>
      <c r="H8" s="31"/>
      <c r="I8" s="31"/>
      <c r="J8" s="31"/>
      <c r="K8" s="812"/>
      <c r="L8" s="49"/>
      <c r="M8" s="31"/>
      <c r="N8" s="31"/>
      <c r="O8" s="31"/>
      <c r="P8" s="31"/>
      <c r="Q8" s="22"/>
      <c r="R8" s="31"/>
      <c r="S8" s="31"/>
      <c r="T8" s="31"/>
      <c r="U8" s="31"/>
      <c r="V8" s="31"/>
      <c r="W8" s="31"/>
    </row>
    <row r="9" spans="1:32" ht="18">
      <c r="A9" s="50" t="s">
        <v>394</v>
      </c>
      <c r="B9" s="51"/>
      <c r="C9" s="51"/>
      <c r="D9" s="52"/>
      <c r="E9" s="53" t="s">
        <v>548</v>
      </c>
      <c r="F9" s="928">
        <v>0.56730408091699958</v>
      </c>
      <c r="G9" s="54" t="s">
        <v>395</v>
      </c>
      <c r="H9" s="55"/>
      <c r="I9" s="56" t="s">
        <v>581</v>
      </c>
      <c r="J9" s="56"/>
      <c r="K9" s="812"/>
      <c r="L9" s="50"/>
      <c r="M9" s="52"/>
      <c r="N9" s="52"/>
      <c r="O9" s="52"/>
      <c r="P9" s="52"/>
      <c r="Q9" s="22"/>
      <c r="R9" s="52"/>
      <c r="S9" s="31"/>
      <c r="T9" s="52"/>
      <c r="U9" s="52"/>
      <c r="V9" s="52"/>
      <c r="W9" s="52"/>
    </row>
    <row r="10" spans="1:32" ht="23.25">
      <c r="A10" s="57"/>
      <c r="B10" s="47"/>
      <c r="C10" s="47"/>
      <c r="D10" s="31"/>
      <c r="E10" s="58" t="s">
        <v>396</v>
      </c>
      <c r="F10" s="927">
        <v>0.43</v>
      </c>
      <c r="G10" s="54" t="s">
        <v>395</v>
      </c>
      <c r="H10" s="59"/>
      <c r="I10" s="56" t="s">
        <v>581</v>
      </c>
      <c r="J10" s="56"/>
      <c r="L10" s="49"/>
      <c r="M10" s="31"/>
      <c r="N10" s="31"/>
      <c r="O10" s="31"/>
      <c r="P10" s="31"/>
      <c r="Q10" s="22"/>
      <c r="R10" s="31"/>
      <c r="S10" s="31"/>
      <c r="T10" s="31"/>
      <c r="U10" s="31"/>
      <c r="V10" s="31"/>
      <c r="W10" s="31"/>
    </row>
    <row r="11" spans="1:32" ht="23.25">
      <c r="E11" s="60" t="s">
        <v>397</v>
      </c>
      <c r="F11" s="926">
        <v>0.2475</v>
      </c>
      <c r="G11" s="61" t="s">
        <v>580</v>
      </c>
      <c r="H11" s="31"/>
      <c r="I11" s="31"/>
      <c r="J11" s="31"/>
      <c r="L11" s="49"/>
      <c r="M11" s="31"/>
      <c r="N11" s="31"/>
      <c r="O11" s="31"/>
      <c r="P11" s="31"/>
      <c r="Q11" s="22"/>
      <c r="R11" s="31"/>
      <c r="S11" s="31"/>
      <c r="T11" s="31"/>
      <c r="U11" s="31"/>
      <c r="V11" s="31"/>
      <c r="W11" s="31"/>
    </row>
    <row r="12" spans="1:32" ht="23.25">
      <c r="A12" s="37" t="s">
        <v>583</v>
      </c>
      <c r="B12" s="47"/>
      <c r="C12" s="47"/>
      <c r="D12" s="931" t="s">
        <v>584</v>
      </c>
      <c r="E12" s="31"/>
      <c r="F12" s="62"/>
      <c r="G12" s="31"/>
      <c r="H12" s="31"/>
      <c r="I12" s="31"/>
      <c r="J12" s="47"/>
      <c r="K12" s="47" t="e">
        <f>F6-#REF!</f>
        <v>#REF!</v>
      </c>
      <c r="L12" s="31"/>
      <c r="M12" s="49"/>
      <c r="N12" s="31"/>
      <c r="O12" s="31"/>
      <c r="P12" s="31"/>
      <c r="Q12" s="22"/>
      <c r="R12" s="31"/>
      <c r="S12" s="31"/>
      <c r="T12" s="31"/>
      <c r="U12" s="31"/>
      <c r="V12" s="31"/>
      <c r="W12" s="31"/>
    </row>
    <row r="13" spans="1:32" ht="23.25" hidden="1">
      <c r="A13" s="63"/>
      <c r="B13" s="64"/>
      <c r="C13" s="31"/>
      <c r="D13" s="31"/>
      <c r="E13" s="31"/>
      <c r="F13" s="62"/>
      <c r="G13" s="31"/>
      <c r="H13" s="31"/>
      <c r="I13" s="31"/>
      <c r="J13" s="47"/>
      <c r="K13" s="47"/>
      <c r="L13" s="31"/>
      <c r="M13" s="49"/>
      <c r="N13" s="31"/>
      <c r="O13" s="31"/>
      <c r="P13" s="31"/>
      <c r="Q13" s="22"/>
      <c r="R13" s="31"/>
      <c r="S13" s="31"/>
      <c r="T13" s="31"/>
      <c r="U13" s="31"/>
      <c r="V13" s="31"/>
      <c r="W13" s="31"/>
    </row>
    <row r="14" spans="1:32" hidden="1">
      <c r="A14" s="63"/>
      <c r="B14" s="64"/>
      <c r="C14" s="31"/>
      <c r="D14" s="37"/>
      <c r="E14" s="37"/>
      <c r="F14" s="31"/>
      <c r="G14" s="31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</row>
    <row r="15" spans="1:32" ht="15.75" hidden="1">
      <c r="A15" s="63"/>
      <c r="B15" s="63"/>
      <c r="C15" s="47"/>
      <c r="D15" s="47"/>
      <c r="E15" s="31"/>
      <c r="F15" s="31"/>
      <c r="G15" s="31"/>
      <c r="H15" s="65"/>
      <c r="I15" s="66"/>
      <c r="J15" s="67"/>
      <c r="K15" s="67"/>
      <c r="L15" s="67"/>
      <c r="M15" s="67"/>
      <c r="N15" s="67"/>
      <c r="O15" s="67"/>
      <c r="P15" s="67"/>
      <c r="Q15" s="67"/>
      <c r="R15" s="38"/>
      <c r="S15" s="38"/>
      <c r="T15" s="38"/>
      <c r="U15" s="38"/>
      <c r="V15" s="38"/>
      <c r="W15" s="38"/>
    </row>
    <row r="16" spans="1:32" ht="18" hidden="1">
      <c r="A16" s="63"/>
      <c r="B16" s="63"/>
      <c r="C16" s="47"/>
      <c r="D16" s="68" t="s">
        <v>398</v>
      </c>
      <c r="E16" s="69"/>
      <c r="F16" s="31"/>
      <c r="G16" s="31"/>
      <c r="H16" s="22">
        <v>45658</v>
      </c>
      <c r="I16" s="70"/>
      <c r="J16" s="31"/>
      <c r="K16" s="71"/>
      <c r="L16" s="22">
        <v>45658</v>
      </c>
      <c r="M16" s="71"/>
      <c r="N16" s="71"/>
      <c r="O16" s="71"/>
      <c r="P16" s="22">
        <v>45658</v>
      </c>
      <c r="Q16" s="71"/>
      <c r="R16" s="37"/>
      <c r="S16" s="37"/>
      <c r="T16" s="22">
        <v>45658</v>
      </c>
      <c r="U16" s="37"/>
      <c r="V16" s="37"/>
      <c r="W16" s="37"/>
    </row>
    <row r="17" spans="1:23" ht="15.75" hidden="1">
      <c r="A17" s="63"/>
      <c r="B17" s="63"/>
      <c r="C17" s="47"/>
      <c r="D17" s="72" t="s">
        <v>399</v>
      </c>
      <c r="E17" s="73" t="s">
        <v>400</v>
      </c>
      <c r="F17" s="31"/>
      <c r="G17" s="31"/>
      <c r="H17" s="74"/>
      <c r="I17" s="75" t="s">
        <v>401</v>
      </c>
      <c r="J17" s="76" t="s">
        <v>402</v>
      </c>
      <c r="K17" s="77" t="s">
        <v>403</v>
      </c>
      <c r="L17" s="78" t="s">
        <v>404</v>
      </c>
      <c r="M17" s="79" t="s">
        <v>405</v>
      </c>
      <c r="N17" s="78" t="s">
        <v>406</v>
      </c>
      <c r="O17" s="78" t="s">
        <v>407</v>
      </c>
      <c r="P17" s="78" t="s">
        <v>408</v>
      </c>
      <c r="Q17" s="78" t="s">
        <v>409</v>
      </c>
      <c r="R17" s="80" t="s">
        <v>410</v>
      </c>
      <c r="S17" s="81">
        <v>1</v>
      </c>
      <c r="T17" s="81">
        <v>2</v>
      </c>
      <c r="U17" s="81">
        <v>3</v>
      </c>
      <c r="V17" s="81">
        <v>4</v>
      </c>
      <c r="W17" s="81">
        <v>5</v>
      </c>
    </row>
    <row r="18" spans="1:23" ht="15.75" hidden="1">
      <c r="A18" s="63"/>
      <c r="B18" s="63"/>
      <c r="C18" s="47"/>
      <c r="D18" s="82">
        <v>0</v>
      </c>
      <c r="E18" s="83">
        <v>0</v>
      </c>
      <c r="F18" s="31"/>
      <c r="G18" s="31"/>
      <c r="H18" s="84">
        <v>0</v>
      </c>
      <c r="I18" s="85">
        <f t="shared" ref="I18:I29" si="0">IF(OR(puntosproljor&lt;620,nina=1),W18,R18)</f>
        <v>207070.41153891236</v>
      </c>
      <c r="J18" s="86">
        <v>207070.41153891236</v>
      </c>
      <c r="K18" s="86">
        <v>147896.18150687192</v>
      </c>
      <c r="L18" s="86"/>
      <c r="M18" s="86"/>
      <c r="N18" s="86"/>
      <c r="O18" s="86"/>
      <c r="P18" s="86">
        <v>165386.9280206589</v>
      </c>
      <c r="Q18" s="86">
        <v>146546.6339336634</v>
      </c>
      <c r="R18" s="87">
        <f t="shared" ref="R18:R29" si="1">IF(PUNTOSbasicos&gt;971,Q18,P18)</f>
        <v>165386.9280206589</v>
      </c>
      <c r="S18" s="87">
        <f t="shared" ref="S18:S29" si="2">IF(PUNTOSbasicos&lt;972,J18,K18)</f>
        <v>207070.41153891236</v>
      </c>
      <c r="T18" s="87">
        <f t="shared" ref="T18:T29" si="3">IF(PUNTOSbasicos&lt;1170,S18,L18)</f>
        <v>207070.41153891236</v>
      </c>
      <c r="U18" s="87">
        <f t="shared" ref="U18:U29" si="4">IF(PUNTOSbasicos&lt;1401,T18,M18)</f>
        <v>207070.41153891236</v>
      </c>
      <c r="V18" s="87">
        <f t="shared" ref="V18:V29" si="5">IF(PUNTOSbasicos&lt;1943,U18,N18)</f>
        <v>207070.41153891236</v>
      </c>
      <c r="W18" s="87">
        <f t="shared" ref="W18:W29" si="6">IF(PUNTOSbasicos&lt;=2220,V18,O18)</f>
        <v>207070.41153891236</v>
      </c>
    </row>
    <row r="19" spans="1:23" ht="15.75" hidden="1">
      <c r="A19" s="63"/>
      <c r="B19" s="63"/>
      <c r="C19" s="47"/>
      <c r="D19" s="82">
        <v>1</v>
      </c>
      <c r="E19" s="88">
        <v>0.1</v>
      </c>
      <c r="F19" s="31"/>
      <c r="G19" s="31"/>
      <c r="H19" s="89">
        <v>0.1</v>
      </c>
      <c r="I19" s="85">
        <f t="shared" si="0"/>
        <v>253351.50628114733</v>
      </c>
      <c r="J19" s="86">
        <v>253351.50628114733</v>
      </c>
      <c r="K19" s="86">
        <v>151489.8919937209</v>
      </c>
      <c r="L19" s="86"/>
      <c r="M19" s="86"/>
      <c r="N19" s="86"/>
      <c r="O19" s="86"/>
      <c r="P19" s="86">
        <v>168980.63850750789</v>
      </c>
      <c r="Q19" s="86">
        <v>150140.34442051241</v>
      </c>
      <c r="R19" s="87">
        <f t="shared" si="1"/>
        <v>168980.63850750789</v>
      </c>
      <c r="S19" s="87">
        <f t="shared" si="2"/>
        <v>253351.50628114733</v>
      </c>
      <c r="T19" s="87">
        <f t="shared" si="3"/>
        <v>253351.50628114733</v>
      </c>
      <c r="U19" s="87">
        <f t="shared" si="4"/>
        <v>253351.50628114733</v>
      </c>
      <c r="V19" s="87">
        <f t="shared" si="5"/>
        <v>253351.50628114733</v>
      </c>
      <c r="W19" s="87">
        <f t="shared" si="6"/>
        <v>253351.50628114733</v>
      </c>
    </row>
    <row r="20" spans="1:23" ht="15.75" hidden="1">
      <c r="A20" s="63"/>
      <c r="B20" s="63"/>
      <c r="C20" s="47"/>
      <c r="D20" s="82">
        <v>2</v>
      </c>
      <c r="E20" s="88">
        <v>0.15</v>
      </c>
      <c r="F20" s="31"/>
      <c r="G20" s="31"/>
      <c r="H20" s="90">
        <v>0.15</v>
      </c>
      <c r="I20" s="85">
        <f t="shared" si="0"/>
        <v>282318.49020891357</v>
      </c>
      <c r="J20" s="86">
        <v>282318.49020891357</v>
      </c>
      <c r="K20" s="86">
        <v>183397.41554898664</v>
      </c>
      <c r="L20" s="86">
        <v>204414.52224700488</v>
      </c>
      <c r="M20" s="86">
        <v>174751.16160537963</v>
      </c>
      <c r="N20" s="86">
        <v>181830.5679428039</v>
      </c>
      <c r="O20" s="86"/>
      <c r="P20" s="86">
        <v>215261.73324974286</v>
      </c>
      <c r="Q20" s="86">
        <v>196422.70992317414</v>
      </c>
      <c r="R20" s="87">
        <f t="shared" si="1"/>
        <v>215261.73324974286</v>
      </c>
      <c r="S20" s="87">
        <f t="shared" si="2"/>
        <v>282318.49020891357</v>
      </c>
      <c r="T20" s="87">
        <f t="shared" si="3"/>
        <v>282318.49020891357</v>
      </c>
      <c r="U20" s="87">
        <f t="shared" si="4"/>
        <v>282318.49020891357</v>
      </c>
      <c r="V20" s="87">
        <f t="shared" si="5"/>
        <v>282318.49020891357</v>
      </c>
      <c r="W20" s="87">
        <f t="shared" si="6"/>
        <v>282318.49020891357</v>
      </c>
    </row>
    <row r="21" spans="1:23" ht="15.75" hidden="1">
      <c r="A21" s="63"/>
      <c r="B21" s="63"/>
      <c r="C21" s="47"/>
      <c r="D21" s="82">
        <v>5</v>
      </c>
      <c r="E21" s="88">
        <v>0.3</v>
      </c>
      <c r="F21" s="31"/>
      <c r="G21" s="31"/>
      <c r="H21" s="90">
        <v>0.3</v>
      </c>
      <c r="I21" s="85">
        <f t="shared" si="0"/>
        <v>294297.94875188579</v>
      </c>
      <c r="J21" s="86">
        <v>294297.94875188579</v>
      </c>
      <c r="K21" s="86">
        <v>188514.7677875089</v>
      </c>
      <c r="L21" s="86">
        <v>204414.52224700488</v>
      </c>
      <c r="M21" s="86">
        <v>174751.16160537963</v>
      </c>
      <c r="N21" s="86">
        <v>181830.5679428039</v>
      </c>
      <c r="O21" s="86"/>
      <c r="P21" s="86">
        <v>272215.94481625111</v>
      </c>
      <c r="Q21" s="86">
        <v>242703.80466540912</v>
      </c>
      <c r="R21" s="87">
        <f t="shared" si="1"/>
        <v>272215.94481625111</v>
      </c>
      <c r="S21" s="87">
        <f t="shared" si="2"/>
        <v>294297.94875188579</v>
      </c>
      <c r="T21" s="87">
        <f t="shared" si="3"/>
        <v>294297.94875188579</v>
      </c>
      <c r="U21" s="87">
        <f t="shared" si="4"/>
        <v>294297.94875188579</v>
      </c>
      <c r="V21" s="87">
        <f t="shared" si="5"/>
        <v>294297.94875188579</v>
      </c>
      <c r="W21" s="87">
        <f t="shared" si="6"/>
        <v>294297.94875188579</v>
      </c>
    </row>
    <row r="22" spans="1:23" ht="15.75" hidden="1">
      <c r="A22" s="63"/>
      <c r="B22" s="63"/>
      <c r="C22" s="47"/>
      <c r="D22" s="82">
        <v>7</v>
      </c>
      <c r="E22" s="88">
        <v>0.4</v>
      </c>
      <c r="F22" s="31"/>
      <c r="G22" s="31"/>
      <c r="H22" s="90">
        <v>0.4</v>
      </c>
      <c r="I22" s="85">
        <f t="shared" si="0"/>
        <v>274913.76920224132</v>
      </c>
      <c r="J22" s="86">
        <v>274913.76920224132</v>
      </c>
      <c r="K22" s="86">
        <v>193959.97621613264</v>
      </c>
      <c r="L22" s="86">
        <v>195115.09744404838</v>
      </c>
      <c r="M22" s="86">
        <v>177255.8304065039</v>
      </c>
      <c r="N22" s="86">
        <v>181830.5679428039</v>
      </c>
      <c r="O22" s="86">
        <v>167673.02602838216</v>
      </c>
      <c r="P22" s="86">
        <v>293668.92234064458</v>
      </c>
      <c r="Q22" s="86">
        <v>247561.92177687434</v>
      </c>
      <c r="R22" s="87">
        <f t="shared" si="1"/>
        <v>293668.92234064458</v>
      </c>
      <c r="S22" s="87">
        <f t="shared" si="2"/>
        <v>274913.76920224132</v>
      </c>
      <c r="T22" s="87">
        <f t="shared" si="3"/>
        <v>274913.76920224132</v>
      </c>
      <c r="U22" s="87">
        <f t="shared" si="4"/>
        <v>274913.76920224132</v>
      </c>
      <c r="V22" s="87">
        <f t="shared" si="5"/>
        <v>274913.76920224132</v>
      </c>
      <c r="W22" s="87">
        <f t="shared" si="6"/>
        <v>274913.76920224132</v>
      </c>
    </row>
    <row r="23" spans="1:23" ht="15.75" hidden="1">
      <c r="A23" s="63"/>
      <c r="B23" s="63"/>
      <c r="C23" s="47"/>
      <c r="D23" s="82">
        <v>10</v>
      </c>
      <c r="E23" s="88">
        <v>0.5</v>
      </c>
      <c r="F23" s="31"/>
      <c r="G23" s="31"/>
      <c r="H23" s="90">
        <v>0.5</v>
      </c>
      <c r="I23" s="85">
        <f t="shared" si="0"/>
        <v>251718.57913277359</v>
      </c>
      <c r="J23" s="86">
        <v>251718.57913277359</v>
      </c>
      <c r="K23" s="86">
        <v>201038.11179313014</v>
      </c>
      <c r="L23" s="86">
        <v>195115.09744404838</v>
      </c>
      <c r="M23" s="86">
        <v>177255.8304065039</v>
      </c>
      <c r="N23" s="86">
        <v>181830.5679428039</v>
      </c>
      <c r="O23" s="86">
        <v>154671.87610230289</v>
      </c>
      <c r="P23" s="86">
        <v>306082.9809495653</v>
      </c>
      <c r="Q23" s="86">
        <v>259867.96574952133</v>
      </c>
      <c r="R23" s="87">
        <f t="shared" si="1"/>
        <v>306082.9809495653</v>
      </c>
      <c r="S23" s="87">
        <f t="shared" si="2"/>
        <v>251718.57913277359</v>
      </c>
      <c r="T23" s="87">
        <f t="shared" si="3"/>
        <v>251718.57913277359</v>
      </c>
      <c r="U23" s="87">
        <f t="shared" si="4"/>
        <v>251718.57913277359</v>
      </c>
      <c r="V23" s="87">
        <f t="shared" si="5"/>
        <v>251718.57913277359</v>
      </c>
      <c r="W23" s="87">
        <f t="shared" si="6"/>
        <v>251718.57913277359</v>
      </c>
    </row>
    <row r="24" spans="1:23" ht="15.75" hidden="1">
      <c r="A24" s="63"/>
      <c r="B24" s="63"/>
      <c r="C24" s="47"/>
      <c r="D24" s="82">
        <v>12</v>
      </c>
      <c r="E24" s="88">
        <v>0.6</v>
      </c>
      <c r="F24" s="31"/>
      <c r="G24" s="31"/>
      <c r="H24" s="90">
        <v>0.6</v>
      </c>
      <c r="I24" s="85">
        <f t="shared" si="0"/>
        <v>252589.05002509736</v>
      </c>
      <c r="J24" s="86">
        <v>252589.05002509736</v>
      </c>
      <c r="K24" s="86">
        <v>198491.50789792312</v>
      </c>
      <c r="L24" s="86">
        <v>198491.50789792312</v>
      </c>
      <c r="M24" s="86">
        <v>178454.15748892914</v>
      </c>
      <c r="N24" s="86">
        <v>172313.84310687316</v>
      </c>
      <c r="O24" s="86">
        <v>162295.16790237615</v>
      </c>
      <c r="P24" s="86">
        <v>318497.03955848608</v>
      </c>
      <c r="Q24" s="86">
        <v>265311.90341771836</v>
      </c>
      <c r="R24" s="87">
        <f t="shared" si="1"/>
        <v>318497.03955848608</v>
      </c>
      <c r="S24" s="87">
        <f t="shared" si="2"/>
        <v>252589.05002509736</v>
      </c>
      <c r="T24" s="87">
        <f t="shared" si="3"/>
        <v>252589.05002509736</v>
      </c>
      <c r="U24" s="87">
        <f t="shared" si="4"/>
        <v>252589.05002509736</v>
      </c>
      <c r="V24" s="87">
        <f t="shared" si="5"/>
        <v>252589.05002509736</v>
      </c>
      <c r="W24" s="87">
        <f t="shared" si="6"/>
        <v>252589.05002509736</v>
      </c>
    </row>
    <row r="25" spans="1:23" ht="15.75" hidden="1">
      <c r="A25" s="63"/>
      <c r="B25" s="63"/>
      <c r="C25" s="47"/>
      <c r="D25" s="82">
        <v>15</v>
      </c>
      <c r="E25" s="88">
        <v>0.7</v>
      </c>
      <c r="F25" s="31"/>
      <c r="G25" s="31"/>
      <c r="H25" s="90">
        <v>0.7</v>
      </c>
      <c r="I25" s="85">
        <f t="shared" si="0"/>
        <v>232727.06455499487</v>
      </c>
      <c r="J25" s="86">
        <v>232727.06455499487</v>
      </c>
      <c r="K25" s="86">
        <v>207311.85601999488</v>
      </c>
      <c r="L25" s="86">
        <v>231596.08777518736</v>
      </c>
      <c r="M25" s="86">
        <v>175035.81194097165</v>
      </c>
      <c r="N25" s="86">
        <v>172313.84310687316</v>
      </c>
      <c r="O25" s="86">
        <v>162295.16790237615</v>
      </c>
      <c r="P25" s="86">
        <v>310941.09806103056</v>
      </c>
      <c r="Q25" s="86">
        <v>270757.1118463421</v>
      </c>
      <c r="R25" s="87">
        <f t="shared" si="1"/>
        <v>310941.09806103056</v>
      </c>
      <c r="S25" s="87">
        <f t="shared" si="2"/>
        <v>232727.06455499487</v>
      </c>
      <c r="T25" s="87">
        <f t="shared" si="3"/>
        <v>232727.06455499487</v>
      </c>
      <c r="U25" s="87">
        <f t="shared" si="4"/>
        <v>232727.06455499487</v>
      </c>
      <c r="V25" s="87">
        <f t="shared" si="5"/>
        <v>232727.06455499487</v>
      </c>
      <c r="W25" s="87">
        <f t="shared" si="6"/>
        <v>232727.06455499487</v>
      </c>
    </row>
    <row r="26" spans="1:23" ht="15.75" hidden="1">
      <c r="A26" s="63"/>
      <c r="B26" s="63"/>
      <c r="C26" s="47"/>
      <c r="D26" s="82">
        <v>17</v>
      </c>
      <c r="E26" s="88">
        <v>0.8</v>
      </c>
      <c r="F26" s="31"/>
      <c r="G26" s="31"/>
      <c r="H26" s="90">
        <v>0.8</v>
      </c>
      <c r="I26" s="85">
        <f t="shared" si="0"/>
        <v>262892.37556518632</v>
      </c>
      <c r="J26" s="86">
        <v>262892.37556518632</v>
      </c>
      <c r="K26" s="86">
        <v>228547.53351141411</v>
      </c>
      <c r="L26" s="86">
        <v>246297.5151522581</v>
      </c>
      <c r="M26" s="86">
        <v>213694.88564356012</v>
      </c>
      <c r="N26" s="86">
        <v>203893.51047203736</v>
      </c>
      <c r="O26" s="86">
        <v>168829.41801672464</v>
      </c>
      <c r="P26" s="86">
        <v>321394.37333147606</v>
      </c>
      <c r="Q26" s="86">
        <v>274241.53693649056</v>
      </c>
      <c r="R26" s="87">
        <f t="shared" si="1"/>
        <v>321394.37333147606</v>
      </c>
      <c r="S26" s="87">
        <f t="shared" si="2"/>
        <v>262892.37556518632</v>
      </c>
      <c r="T26" s="87">
        <f t="shared" si="3"/>
        <v>262892.37556518632</v>
      </c>
      <c r="U26" s="87">
        <f t="shared" si="4"/>
        <v>262892.37556518632</v>
      </c>
      <c r="V26" s="87">
        <f t="shared" si="5"/>
        <v>262892.37556518632</v>
      </c>
      <c r="W26" s="87">
        <f t="shared" si="6"/>
        <v>262892.37556518632</v>
      </c>
    </row>
    <row r="27" spans="1:23" ht="15.75" hidden="1">
      <c r="A27" s="63"/>
      <c r="B27" s="63"/>
      <c r="C27" s="47"/>
      <c r="D27" s="82">
        <v>20</v>
      </c>
      <c r="E27" s="88">
        <v>1</v>
      </c>
      <c r="F27" s="31"/>
      <c r="G27" s="31"/>
      <c r="H27" s="90">
        <v>1</v>
      </c>
      <c r="I27" s="85">
        <f t="shared" si="0"/>
        <v>304214.96312224283</v>
      </c>
      <c r="J27" s="86">
        <v>304214.96312224283</v>
      </c>
      <c r="K27" s="86">
        <v>258321.45031016661</v>
      </c>
      <c r="L27" s="86">
        <v>249670.1133248526</v>
      </c>
      <c r="M27" s="86">
        <v>208750.35682307588</v>
      </c>
      <c r="N27" s="86">
        <v>213076.02531573287</v>
      </c>
      <c r="O27" s="86">
        <v>167656.50614283441</v>
      </c>
      <c r="P27" s="86">
        <v>331707.86495497904</v>
      </c>
      <c r="Q27" s="86">
        <v>277528.99416049285</v>
      </c>
      <c r="R27" s="87">
        <f t="shared" si="1"/>
        <v>331707.86495497904</v>
      </c>
      <c r="S27" s="87">
        <f t="shared" si="2"/>
        <v>304214.96312224283</v>
      </c>
      <c r="T27" s="87">
        <f t="shared" si="3"/>
        <v>304214.96312224283</v>
      </c>
      <c r="U27" s="87">
        <f t="shared" si="4"/>
        <v>304214.96312224283</v>
      </c>
      <c r="V27" s="87">
        <f t="shared" si="5"/>
        <v>304214.96312224283</v>
      </c>
      <c r="W27" s="87">
        <f t="shared" si="6"/>
        <v>304214.96312224283</v>
      </c>
    </row>
    <row r="28" spans="1:23" ht="15.75" hidden="1">
      <c r="A28" s="63"/>
      <c r="B28" s="63"/>
      <c r="C28" s="47"/>
      <c r="D28" s="82">
        <v>22</v>
      </c>
      <c r="E28" s="88">
        <v>1.1000000000000001</v>
      </c>
      <c r="F28" s="31"/>
      <c r="G28" s="31"/>
      <c r="H28" s="90">
        <v>1.1000000000000001</v>
      </c>
      <c r="I28" s="85">
        <f t="shared" si="0"/>
        <v>330710.31801998027</v>
      </c>
      <c r="J28" s="86">
        <v>330710.31801998027</v>
      </c>
      <c r="K28" s="86">
        <v>279517.73422835657</v>
      </c>
      <c r="L28" s="86">
        <v>243895.7779457006</v>
      </c>
      <c r="M28" s="86">
        <v>208750.35682307588</v>
      </c>
      <c r="N28" s="86">
        <v>216644.32059404688</v>
      </c>
      <c r="O28" s="86">
        <v>171116.78678487465</v>
      </c>
      <c r="P28" s="86">
        <v>340467.2165765668</v>
      </c>
      <c r="Q28" s="86">
        <v>282828.0651400403</v>
      </c>
      <c r="R28" s="87">
        <f t="shared" si="1"/>
        <v>340467.2165765668</v>
      </c>
      <c r="S28" s="87">
        <f t="shared" si="2"/>
        <v>330710.31801998027</v>
      </c>
      <c r="T28" s="87">
        <f t="shared" si="3"/>
        <v>330710.31801998027</v>
      </c>
      <c r="U28" s="87">
        <f t="shared" si="4"/>
        <v>330710.31801998027</v>
      </c>
      <c r="V28" s="87">
        <f t="shared" si="5"/>
        <v>330710.31801998027</v>
      </c>
      <c r="W28" s="87">
        <f t="shared" si="6"/>
        <v>330710.31801998027</v>
      </c>
    </row>
    <row r="29" spans="1:23" ht="15.75" hidden="1">
      <c r="A29" s="63"/>
      <c r="B29" s="63"/>
      <c r="C29" s="47"/>
      <c r="D29" s="82">
        <v>24</v>
      </c>
      <c r="E29" s="88">
        <v>1.2</v>
      </c>
      <c r="F29" s="31"/>
      <c r="G29" s="31"/>
      <c r="H29" s="90">
        <v>1.2</v>
      </c>
      <c r="I29" s="85">
        <f t="shared" si="0"/>
        <v>339145.62573274679</v>
      </c>
      <c r="J29" s="86">
        <v>339145.62573274679</v>
      </c>
      <c r="K29" s="86">
        <v>284707.51981120359</v>
      </c>
      <c r="L29" s="86">
        <v>261198.4519163286</v>
      </c>
      <c r="M29" s="86">
        <v>210481.13252430936</v>
      </c>
      <c r="N29" s="86">
        <v>220104.60123608712</v>
      </c>
      <c r="O29" s="86">
        <v>171116.78678487465</v>
      </c>
      <c r="P29" s="86">
        <v>342196.72151737352</v>
      </c>
      <c r="Q29" s="86">
        <v>284773.59935339459</v>
      </c>
      <c r="R29" s="87">
        <f t="shared" si="1"/>
        <v>342196.72151737352</v>
      </c>
      <c r="S29" s="87">
        <f t="shared" si="2"/>
        <v>339145.62573274679</v>
      </c>
      <c r="T29" s="87">
        <f t="shared" si="3"/>
        <v>339145.62573274679</v>
      </c>
      <c r="U29" s="87">
        <f t="shared" si="4"/>
        <v>339145.62573274679</v>
      </c>
      <c r="V29" s="87">
        <f t="shared" si="5"/>
        <v>339145.62573274679</v>
      </c>
      <c r="W29" s="87">
        <f t="shared" si="6"/>
        <v>339145.62573274679</v>
      </c>
    </row>
    <row r="30" spans="1:23" ht="15.75" hidden="1">
      <c r="A30" s="63"/>
      <c r="B30" s="63"/>
      <c r="C30" s="47"/>
      <c r="D30" s="47"/>
      <c r="E30" s="31"/>
      <c r="F30" s="31"/>
      <c r="G30" s="31"/>
      <c r="H30" s="65"/>
      <c r="I30" s="66"/>
      <c r="J30" s="67"/>
      <c r="K30" s="67"/>
      <c r="L30" s="67"/>
      <c r="M30" s="67"/>
      <c r="N30" s="67"/>
      <c r="O30" s="67"/>
      <c r="P30" s="67"/>
      <c r="Q30" s="67"/>
      <c r="R30" s="38"/>
      <c r="S30" s="38"/>
      <c r="T30" s="38"/>
      <c r="U30" s="38"/>
      <c r="V30" s="38"/>
      <c r="W30" s="38"/>
    </row>
    <row r="31" spans="1:23" ht="15.75" hidden="1">
      <c r="A31" s="63"/>
      <c r="B31" s="63"/>
      <c r="C31" s="47"/>
      <c r="D31" s="47"/>
      <c r="E31" s="31"/>
      <c r="F31" s="31"/>
      <c r="G31" s="31"/>
      <c r="H31" s="65"/>
      <c r="I31" s="66"/>
      <c r="J31" s="67"/>
      <c r="K31" s="67"/>
      <c r="L31" s="67"/>
      <c r="M31" s="67"/>
      <c r="N31" s="67"/>
      <c r="O31" s="67"/>
      <c r="P31" s="67"/>
      <c r="Q31" s="67"/>
      <c r="R31" s="38"/>
      <c r="S31" s="38"/>
      <c r="T31" s="38"/>
      <c r="U31" s="38"/>
      <c r="V31" s="38"/>
      <c r="W31" s="38"/>
    </row>
    <row r="32" spans="1:23" ht="15.75" hidden="1">
      <c r="A32" s="63"/>
      <c r="B32" s="63"/>
      <c r="C32" s="47"/>
      <c r="D32" s="47"/>
      <c r="E32" s="31"/>
      <c r="F32" s="31"/>
      <c r="G32" s="31"/>
      <c r="H32" s="47"/>
      <c r="I32" s="47"/>
      <c r="J32" s="31"/>
      <c r="K32" s="31"/>
      <c r="L32" s="74"/>
      <c r="M32" s="70"/>
      <c r="N32" s="71"/>
      <c r="O32" s="71"/>
      <c r="P32" s="71"/>
      <c r="Q32" s="71"/>
      <c r="R32" s="71"/>
      <c r="S32" s="71"/>
      <c r="T32" s="71"/>
      <c r="U32" s="71"/>
      <c r="V32" s="91"/>
      <c r="W32" s="91"/>
    </row>
    <row r="33" spans="1:23" ht="15.75" hidden="1">
      <c r="A33" s="63"/>
      <c r="B33" s="63"/>
      <c r="C33" s="47"/>
      <c r="D33" s="47"/>
      <c r="E33" s="31"/>
      <c r="F33" s="31"/>
      <c r="G33" s="31"/>
      <c r="H33" s="47"/>
      <c r="I33" s="47"/>
      <c r="J33" s="31"/>
      <c r="K33" s="31"/>
      <c r="L33" s="74"/>
      <c r="M33" s="70"/>
      <c r="N33" s="71"/>
      <c r="O33" s="71"/>
      <c r="P33" s="71"/>
      <c r="Q33" s="71"/>
      <c r="R33" s="71"/>
      <c r="S33" s="71"/>
      <c r="T33" s="71"/>
      <c r="U33" s="71"/>
      <c r="V33" s="91"/>
      <c r="W33" s="91"/>
    </row>
    <row r="34" spans="1:23" ht="23.25" hidden="1">
      <c r="A34" s="63"/>
      <c r="B34" s="63"/>
      <c r="C34" s="47"/>
      <c r="D34" s="92">
        <f>1.53/1.47-1</f>
        <v>4.081632653061229E-2</v>
      </c>
      <c r="E34" s="31"/>
      <c r="F34" s="93"/>
      <c r="G34" s="94"/>
      <c r="H34" s="95"/>
      <c r="I34" s="95"/>
      <c r="J34" s="94"/>
      <c r="K34" s="94"/>
      <c r="L34" s="96"/>
      <c r="M34" s="97"/>
      <c r="N34" s="97"/>
      <c r="O34" s="97"/>
      <c r="P34" s="97"/>
      <c r="Q34" s="31"/>
      <c r="R34" s="31"/>
      <c r="S34" s="31"/>
      <c r="T34" s="31"/>
      <c r="U34" s="31"/>
      <c r="V34" s="31"/>
      <c r="W34" s="31"/>
    </row>
    <row r="35" spans="1:23" ht="20.25" hidden="1">
      <c r="A35" s="98"/>
      <c r="B35" s="63"/>
      <c r="C35" s="47"/>
      <c r="D35" s="47"/>
      <c r="E35" s="31"/>
      <c r="F35" s="99"/>
      <c r="G35" s="97" t="s">
        <v>411</v>
      </c>
      <c r="H35" s="100" t="s">
        <v>412</v>
      </c>
      <c r="I35" s="97" t="s">
        <v>413</v>
      </c>
      <c r="J35" s="101" t="s">
        <v>414</v>
      </c>
      <c r="K35" s="97"/>
      <c r="L35" s="102"/>
      <c r="M35" s="103"/>
      <c r="N35" s="102" t="s">
        <v>415</v>
      </c>
      <c r="O35" s="104"/>
      <c r="P35" s="105">
        <v>0.24</v>
      </c>
      <c r="Q35" s="31"/>
      <c r="R35" s="31"/>
      <c r="S35" s="31"/>
      <c r="T35" s="31"/>
      <c r="U35" s="31"/>
      <c r="V35" s="31"/>
      <c r="W35" s="31"/>
    </row>
    <row r="36" spans="1:23" ht="20.25" hidden="1">
      <c r="A36" s="106" t="s">
        <v>416</v>
      </c>
      <c r="B36" s="106"/>
      <c r="C36" s="107"/>
      <c r="D36" s="107"/>
      <c r="E36" s="31"/>
      <c r="F36" s="108"/>
      <c r="G36" s="97" t="s">
        <v>417</v>
      </c>
      <c r="H36" s="100" t="s">
        <v>418</v>
      </c>
      <c r="I36" s="97" t="s">
        <v>419</v>
      </c>
      <c r="J36" s="101" t="s">
        <v>414</v>
      </c>
      <c r="K36" s="97"/>
      <c r="L36" s="109"/>
      <c r="M36" s="103"/>
      <c r="N36" s="109" t="s">
        <v>420</v>
      </c>
      <c r="O36" s="110"/>
      <c r="P36" s="105">
        <v>0.26</v>
      </c>
      <c r="Q36" s="31"/>
      <c r="R36" s="31"/>
      <c r="S36" s="31"/>
      <c r="T36" s="31"/>
      <c r="U36" s="31"/>
      <c r="V36" s="31"/>
      <c r="W36" s="31"/>
    </row>
    <row r="37" spans="1:23" ht="20.25" hidden="1">
      <c r="A37" s="64"/>
      <c r="B37" s="64"/>
      <c r="C37" s="31"/>
      <c r="D37" s="47"/>
      <c r="E37" s="31"/>
      <c r="F37" s="108"/>
      <c r="G37" s="111" t="s">
        <v>421</v>
      </c>
      <c r="H37" s="112" t="s">
        <v>422</v>
      </c>
      <c r="I37" s="113" t="s">
        <v>423</v>
      </c>
      <c r="J37" s="71" t="s">
        <v>424</v>
      </c>
      <c r="K37" s="31"/>
      <c r="L37" s="109"/>
      <c r="M37" s="103"/>
      <c r="N37" s="109" t="s">
        <v>425</v>
      </c>
      <c r="O37" s="110"/>
      <c r="P37" s="114" t="s">
        <v>426</v>
      </c>
      <c r="Q37" s="31"/>
      <c r="R37" s="31"/>
      <c r="S37" s="31"/>
      <c r="T37" s="31"/>
      <c r="U37" s="31"/>
      <c r="V37" s="31"/>
      <c r="W37" s="31"/>
    </row>
    <row r="38" spans="1:23" ht="15.75" hidden="1">
      <c r="A38" s="64"/>
      <c r="B38" s="115"/>
      <c r="C38" s="116"/>
      <c r="D38" s="31"/>
      <c r="E38" s="31"/>
      <c r="F38" s="117"/>
      <c r="G38" s="118"/>
      <c r="H38" s="119"/>
      <c r="I38" s="119"/>
      <c r="J38" s="118"/>
      <c r="K38" s="118"/>
      <c r="L38" s="120"/>
      <c r="M38" s="31"/>
      <c r="N38" s="31"/>
      <c r="O38" s="31"/>
      <c r="P38" s="31"/>
      <c r="Q38" s="31"/>
      <c r="R38" s="31"/>
      <c r="S38" s="31"/>
      <c r="T38" s="31"/>
      <c r="U38" s="121"/>
      <c r="V38" s="121"/>
      <c r="W38" s="121"/>
    </row>
    <row r="39" spans="1:23" ht="20.25" hidden="1">
      <c r="A39" s="64"/>
      <c r="B39" s="122"/>
      <c r="C39" s="123"/>
      <c r="D39" s="123"/>
      <c r="E39" s="31"/>
      <c r="F39" s="898" t="s">
        <v>427</v>
      </c>
      <c r="G39" s="871"/>
      <c r="H39" s="871"/>
      <c r="I39" s="124"/>
      <c r="J39" s="125"/>
      <c r="K39" s="124"/>
      <c r="L39" s="31"/>
      <c r="M39" s="31"/>
      <c r="N39" s="31"/>
      <c r="O39" s="31"/>
      <c r="P39" s="31"/>
      <c r="Q39" s="31"/>
      <c r="R39" s="31"/>
      <c r="S39" s="31"/>
      <c r="T39" s="31"/>
      <c r="U39" s="126"/>
      <c r="V39" s="126"/>
      <c r="W39" s="126"/>
    </row>
    <row r="40" spans="1:23" hidden="1">
      <c r="A40" s="64"/>
      <c r="B40" s="127"/>
      <c r="C40" s="128">
        <f>1.47*1.07+0.13+1.47*0.07</f>
        <v>1.8058000000000001</v>
      </c>
      <c r="D40" s="129">
        <f>1.47*1.14</f>
        <v>1.6757999999999997</v>
      </c>
      <c r="E40" s="31"/>
      <c r="F40" s="899" t="s">
        <v>428</v>
      </c>
      <c r="G40" s="871"/>
      <c r="H40" s="31"/>
      <c r="I40" s="47"/>
      <c r="J40" s="130"/>
      <c r="K40" s="31"/>
      <c r="L40" s="31"/>
      <c r="M40" s="31"/>
      <c r="N40" s="131"/>
      <c r="O40" s="31"/>
      <c r="P40" s="31"/>
      <c r="Q40" s="131"/>
      <c r="R40" s="31"/>
      <c r="S40" s="131"/>
      <c r="T40" s="31"/>
      <c r="U40" s="31"/>
      <c r="V40" s="31"/>
      <c r="W40" s="31"/>
    </row>
    <row r="41" spans="1:23" ht="25.5" hidden="1">
      <c r="A41" s="64"/>
      <c r="B41" s="64"/>
      <c r="C41" s="132">
        <f>1.53*1.07</f>
        <v>1.6371000000000002</v>
      </c>
      <c r="D41" s="133">
        <f>1.53*1.14</f>
        <v>1.7442</v>
      </c>
      <c r="E41" s="31"/>
      <c r="F41" s="900" t="s">
        <v>429</v>
      </c>
      <c r="G41" s="878"/>
      <c r="H41" s="134"/>
      <c r="I41" s="47"/>
      <c r="J41" s="130"/>
      <c r="K41" s="31"/>
      <c r="L41" s="129"/>
      <c r="M41" s="31"/>
      <c r="N41" s="131"/>
      <c r="O41" s="31"/>
      <c r="P41" s="31"/>
      <c r="Q41" s="131"/>
      <c r="R41" s="31"/>
      <c r="S41" s="131"/>
      <c r="T41" s="31"/>
      <c r="U41" s="31"/>
      <c r="V41" s="31"/>
      <c r="W41" s="135" t="s">
        <v>430</v>
      </c>
    </row>
    <row r="42" spans="1:23" hidden="1">
      <c r="A42" s="64"/>
      <c r="B42" s="31"/>
      <c r="C42" s="136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129"/>
      <c r="R42" s="31"/>
      <c r="S42" s="31"/>
      <c r="T42" s="31"/>
      <c r="U42" s="31"/>
      <c r="V42" s="31"/>
      <c r="W42" s="31"/>
    </row>
    <row r="43" spans="1:23" hidden="1">
      <c r="A43" s="64"/>
      <c r="B43" s="64"/>
      <c r="C43" s="31" t="s">
        <v>431</v>
      </c>
      <c r="D43" s="137">
        <v>264.02777523499992</v>
      </c>
      <c r="E43" s="31" t="s">
        <v>545</v>
      </c>
      <c r="F43" s="137">
        <v>273.2688</v>
      </c>
      <c r="G43" s="31" t="s">
        <v>553</v>
      </c>
      <c r="H43" s="137">
        <v>281.46686399999999</v>
      </c>
      <c r="I43" s="31" t="s">
        <v>555</v>
      </c>
      <c r="J43" s="137">
        <v>291.31820423999994</v>
      </c>
      <c r="K43" s="31" t="s">
        <v>563</v>
      </c>
      <c r="L43" s="137">
        <v>295.68797730359989</v>
      </c>
      <c r="M43" s="31" t="s">
        <v>565</v>
      </c>
      <c r="N43" s="137">
        <v>301.60173684967191</v>
      </c>
      <c r="O43" s="37"/>
      <c r="P43" s="37"/>
      <c r="Q43" s="37"/>
      <c r="R43" s="37"/>
      <c r="S43" s="37"/>
      <c r="T43" s="37"/>
      <c r="U43" s="37"/>
      <c r="V43" s="37"/>
      <c r="W43" s="37"/>
    </row>
    <row r="44" spans="1:23" hidden="1">
      <c r="A44" s="64"/>
      <c r="B44" s="64"/>
      <c r="C44" s="31" t="s">
        <v>432</v>
      </c>
      <c r="D44" s="137">
        <v>456.22564546749987</v>
      </c>
      <c r="E44" s="31" t="s">
        <v>546</v>
      </c>
      <c r="F44" s="137">
        <v>472.19349999999997</v>
      </c>
      <c r="G44" s="31" t="s">
        <v>554</v>
      </c>
      <c r="H44" s="137">
        <v>486.35930500000001</v>
      </c>
      <c r="I44" s="31" t="s">
        <v>556</v>
      </c>
      <c r="J44" s="137">
        <v>503.38188067499999</v>
      </c>
      <c r="K44" s="31" t="s">
        <v>564</v>
      </c>
      <c r="L44" s="137">
        <v>510.93260888512492</v>
      </c>
      <c r="M44" s="31" t="s">
        <v>566</v>
      </c>
      <c r="N44" s="137">
        <v>521.15126106282742</v>
      </c>
      <c r="O44" s="37"/>
      <c r="P44" s="37"/>
      <c r="Q44" s="37"/>
      <c r="R44" s="37"/>
      <c r="S44" s="37"/>
      <c r="T44" s="37"/>
      <c r="U44" s="37"/>
      <c r="V44" s="37"/>
      <c r="W44" s="37"/>
    </row>
    <row r="45" spans="1:23" hidden="1">
      <c r="A45" s="64"/>
      <c r="B45" s="64"/>
      <c r="C45" s="31"/>
      <c r="D45" s="137"/>
      <c r="E45" s="31"/>
      <c r="F45" s="137"/>
      <c r="G45" s="806">
        <f>indicemay26*1.03</f>
        <v>281.46686399999999</v>
      </c>
      <c r="H45" s="806"/>
      <c r="I45" s="816">
        <f>indicejul26*1.035</f>
        <v>291.31820423999994</v>
      </c>
      <c r="J45" s="806"/>
      <c r="K45" s="859">
        <f>indicesep26*1.015</f>
        <v>295.68797730359989</v>
      </c>
      <c r="L45" s="806"/>
      <c r="M45" s="859">
        <f>indiceoct26*1.02</f>
        <v>301.60173684967191</v>
      </c>
      <c r="N45" s="806"/>
      <c r="O45" s="806"/>
      <c r="P45" s="806"/>
      <c r="Q45" s="806"/>
      <c r="R45" s="806"/>
      <c r="S45" s="806"/>
      <c r="T45" s="806"/>
      <c r="U45" s="806"/>
      <c r="V45" s="806"/>
      <c r="W45" s="806"/>
    </row>
    <row r="46" spans="1:23" hidden="1">
      <c r="A46" s="64"/>
      <c r="B46" s="64"/>
      <c r="C46" s="31" t="s">
        <v>547</v>
      </c>
      <c r="D46" s="137">
        <f>0.035</f>
        <v>3.5000000000000003E-2</v>
      </c>
      <c r="E46" s="31" t="s">
        <v>561</v>
      </c>
      <c r="F46" s="137">
        <f>(1+Aumentoseptiembre26)*1.015-1</f>
        <v>0.11991217624999972</v>
      </c>
      <c r="G46" s="816">
        <f>Indiceproljormay26*1.03</f>
        <v>486.35930500000001</v>
      </c>
      <c r="H46" s="806"/>
      <c r="I46" s="816">
        <f>Indiceproljorjul26*1.035</f>
        <v>503.38188067499999</v>
      </c>
      <c r="J46" s="806"/>
      <c r="K46" s="859">
        <f>Indiceproljorsep26*1.015</f>
        <v>510.93260888512492</v>
      </c>
      <c r="L46" s="806"/>
      <c r="M46" s="859">
        <f>Indiceproljoroct26*1.02</f>
        <v>521.15126106282742</v>
      </c>
      <c r="N46" s="806"/>
      <c r="O46" s="806"/>
      <c r="P46" s="806"/>
      <c r="Q46" s="806"/>
      <c r="R46" s="806"/>
      <c r="S46" s="806"/>
      <c r="T46" s="806"/>
      <c r="U46" s="806"/>
      <c r="V46" s="806"/>
      <c r="W46" s="806"/>
    </row>
    <row r="47" spans="1:23" hidden="1">
      <c r="A47" s="64"/>
      <c r="B47" s="64"/>
      <c r="C47" s="31" t="s">
        <v>557</v>
      </c>
      <c r="D47" s="137">
        <f>1.035*1.03-1</f>
        <v>6.6049999999999942E-2</v>
      </c>
      <c r="E47" s="31" t="s">
        <v>562</v>
      </c>
      <c r="F47" s="137">
        <f>(1+Aumentooctubre26)*1.02-1</f>
        <v>0.14231041977499981</v>
      </c>
      <c r="G47" s="806"/>
      <c r="H47" s="806"/>
      <c r="I47" s="806"/>
      <c r="J47" s="806"/>
      <c r="K47" s="806"/>
      <c r="L47" s="806"/>
      <c r="M47" s="806"/>
      <c r="N47" s="806"/>
      <c r="O47" s="806"/>
      <c r="P47" s="806"/>
      <c r="Q47" s="806"/>
      <c r="R47" s="806"/>
      <c r="S47" s="806"/>
      <c r="T47" s="806"/>
      <c r="U47" s="806"/>
      <c r="V47" s="806"/>
      <c r="W47" s="806"/>
    </row>
    <row r="48" spans="1:23" hidden="1">
      <c r="A48" s="64"/>
      <c r="B48" s="64"/>
      <c r="C48" s="31" t="s">
        <v>558</v>
      </c>
      <c r="D48" s="137">
        <f>(1+Aumentojulio26)*1.035-1</f>
        <v>0.10336174999999992</v>
      </c>
      <c r="E48" s="31"/>
      <c r="F48" s="137"/>
      <c r="G48" s="806"/>
      <c r="H48" s="806"/>
      <c r="I48" s="806"/>
      <c r="J48" s="806"/>
      <c r="K48" s="806"/>
      <c r="L48" s="806"/>
      <c r="M48" s="806"/>
      <c r="N48" s="806"/>
      <c r="O48" s="806"/>
      <c r="P48" s="806"/>
      <c r="Q48" s="806"/>
      <c r="R48" s="806"/>
      <c r="S48" s="806"/>
      <c r="T48" s="806"/>
      <c r="U48" s="806"/>
      <c r="V48" s="806"/>
      <c r="W48" s="806"/>
    </row>
    <row r="49" spans="1:29" hidden="1">
      <c r="A49" s="64"/>
      <c r="B49" s="138"/>
      <c r="C49" s="31"/>
      <c r="D49" s="31"/>
      <c r="E49" s="139"/>
      <c r="F49" s="31"/>
      <c r="G49" s="31"/>
      <c r="H49" s="140"/>
      <c r="I49" s="31"/>
      <c r="J49" s="31"/>
      <c r="K49" s="31"/>
      <c r="L49" s="31"/>
      <c r="M49" s="141">
        <f>1+0.05/1.18</f>
        <v>1.0423728813559323</v>
      </c>
      <c r="N49" s="141">
        <f>1+0.08/1.18</f>
        <v>1.0677966101694916</v>
      </c>
      <c r="O49" s="141">
        <f>1+0.1/1.18</f>
        <v>1.0847457627118644</v>
      </c>
      <c r="P49" s="141">
        <f>1+0.17/1.18</f>
        <v>1.1440677966101696</v>
      </c>
      <c r="Q49" s="141">
        <f>1+0.25/1.18</f>
        <v>1.2118644067796611</v>
      </c>
      <c r="R49" s="31"/>
      <c r="S49" s="31"/>
      <c r="T49" s="31"/>
      <c r="U49" s="31"/>
      <c r="V49" s="31"/>
      <c r="W49" s="31"/>
    </row>
    <row r="50" spans="1:29" ht="16.5" thickBot="1">
      <c r="A50" s="142"/>
      <c r="B50" s="143" t="s">
        <v>433</v>
      </c>
      <c r="C50" s="31"/>
      <c r="D50" s="31"/>
      <c r="E50" s="31"/>
      <c r="F50" s="144"/>
      <c r="G50" s="37"/>
      <c r="H50" s="145"/>
      <c r="I50" s="31"/>
      <c r="J50" s="31"/>
      <c r="K50" s="140"/>
      <c r="L50" s="31"/>
      <c r="M50" s="141"/>
      <c r="N50" s="141"/>
      <c r="O50" s="141"/>
      <c r="P50" s="141"/>
      <c r="Q50" s="141"/>
      <c r="R50" s="31"/>
      <c r="S50" s="31"/>
      <c r="T50" s="31"/>
      <c r="U50" s="31"/>
      <c r="V50" s="31"/>
      <c r="W50" s="31"/>
    </row>
    <row r="51" spans="1:29" ht="16.5" thickBot="1">
      <c r="A51" s="142"/>
      <c r="B51" s="146" t="s">
        <v>582</v>
      </c>
      <c r="C51" s="31"/>
      <c r="D51" s="31"/>
      <c r="E51" s="31"/>
      <c r="F51" s="147"/>
      <c r="G51" s="148"/>
      <c r="H51" s="31"/>
      <c r="I51" s="147"/>
      <c r="J51" s="148"/>
      <c r="K51" s="145"/>
      <c r="L51" s="31"/>
      <c r="M51" s="31"/>
      <c r="N51" s="140"/>
      <c r="O51" s="31"/>
      <c r="P51" s="31"/>
      <c r="Q51" s="31"/>
      <c r="R51" s="31"/>
      <c r="S51" s="31"/>
      <c r="T51" s="31"/>
      <c r="U51" s="31"/>
      <c r="V51" s="31"/>
      <c r="W51" s="31"/>
    </row>
    <row r="52" spans="1:29" ht="16.5" thickBot="1">
      <c r="A52" s="149"/>
      <c r="B52" s="150" t="s">
        <v>434</v>
      </c>
      <c r="C52" s="31"/>
      <c r="D52" s="31"/>
      <c r="E52" s="31"/>
      <c r="F52" s="151"/>
      <c r="G52" s="152"/>
      <c r="H52" s="31"/>
      <c r="I52" s="151"/>
      <c r="J52" s="152"/>
      <c r="K52" s="31"/>
      <c r="L52" s="31"/>
      <c r="M52" s="37"/>
      <c r="N52" s="140"/>
      <c r="O52" s="31"/>
      <c r="P52" s="31"/>
      <c r="Q52" s="31"/>
      <c r="R52" s="31"/>
      <c r="S52" s="31"/>
      <c r="T52" s="31"/>
      <c r="U52" s="31"/>
      <c r="V52" s="31"/>
      <c r="W52" s="31"/>
    </row>
    <row r="53" spans="1:29" ht="21" thickBot="1">
      <c r="A53" s="153"/>
      <c r="B53" s="150"/>
      <c r="C53" s="31"/>
      <c r="D53" s="31"/>
      <c r="E53" s="154" t="s">
        <v>435</v>
      </c>
      <c r="F53" s="155">
        <f>indicesep26</f>
        <v>291.31820423999994</v>
      </c>
      <c r="G53" s="148" t="s">
        <v>436</v>
      </c>
      <c r="H53" s="154" t="s">
        <v>435</v>
      </c>
      <c r="I53" s="155">
        <f>indicejul26</f>
        <v>281.46686399999999</v>
      </c>
      <c r="J53" s="148" t="s">
        <v>436</v>
      </c>
      <c r="K53" s="154" t="s">
        <v>435</v>
      </c>
      <c r="L53" s="155">
        <f>indicemay26</f>
        <v>273.2688</v>
      </c>
      <c r="M53" s="148" t="s">
        <v>436</v>
      </c>
      <c r="N53" s="154" t="s">
        <v>435</v>
      </c>
      <c r="O53" s="155">
        <f>indicedic25</f>
        <v>264.02777523499992</v>
      </c>
      <c r="P53" s="148" t="s">
        <v>436</v>
      </c>
      <c r="Q53" s="154" t="s">
        <v>435</v>
      </c>
      <c r="R53" s="155">
        <f>indicedic25</f>
        <v>264.02777523499992</v>
      </c>
      <c r="S53" s="148" t="s">
        <v>436</v>
      </c>
      <c r="T53" s="154"/>
      <c r="U53" s="31"/>
      <c r="V53" s="140"/>
      <c r="W53" s="31"/>
      <c r="X53" s="31"/>
      <c r="Y53" s="31"/>
      <c r="Z53" s="31"/>
      <c r="AA53" s="31"/>
      <c r="AB53" s="31"/>
      <c r="AC53" s="31"/>
    </row>
    <row r="54" spans="1:29" ht="20.25">
      <c r="A54" s="31"/>
      <c r="B54" s="31"/>
      <c r="C54" s="31"/>
      <c r="D54" s="31"/>
      <c r="E54" s="156" t="s">
        <v>437</v>
      </c>
      <c r="F54" s="157">
        <f>Indiceproljorsep26</f>
        <v>503.38188067499999</v>
      </c>
      <c r="G54" s="158">
        <f>F53/I53-1</f>
        <v>3.499999999999992E-2</v>
      </c>
      <c r="H54" s="156" t="s">
        <v>437</v>
      </c>
      <c r="I54" s="157">
        <f>Indiceproljorjul26</f>
        <v>486.35930500000001</v>
      </c>
      <c r="J54" s="158">
        <f>I53/L53-1</f>
        <v>3.0000000000000027E-2</v>
      </c>
      <c r="K54" s="156" t="s">
        <v>437</v>
      </c>
      <c r="L54" s="157">
        <f>Indiceproljormay26</f>
        <v>472.19349999999997</v>
      </c>
      <c r="M54" s="158">
        <f>L53/O53-1</f>
        <v>3.5000199341811866E-2</v>
      </c>
      <c r="N54" s="156" t="s">
        <v>437</v>
      </c>
      <c r="O54" s="157">
        <f>Indiceproljordic25</f>
        <v>456.22564546749987</v>
      </c>
      <c r="P54" s="158">
        <f>O53/R53-1</f>
        <v>0</v>
      </c>
      <c r="Q54" s="156" t="s">
        <v>437</v>
      </c>
      <c r="R54" s="157">
        <f>Indiceproljordic25</f>
        <v>456.22564546749987</v>
      </c>
      <c r="S54" s="158" t="e">
        <f>R53/#REF!-1</f>
        <v>#REF!</v>
      </c>
      <c r="T54" s="156"/>
      <c r="U54" s="31"/>
      <c r="V54" s="140"/>
      <c r="W54" s="31"/>
      <c r="X54" s="31"/>
      <c r="Y54" s="31"/>
    </row>
    <row r="55" spans="1:29" ht="28.5">
      <c r="A55" s="31"/>
      <c r="B55" s="31"/>
      <c r="C55" s="159" t="s">
        <v>430</v>
      </c>
      <c r="D55" s="31"/>
      <c r="E55" s="160"/>
      <c r="F55" s="31"/>
      <c r="G55" s="31" t="s">
        <v>438</v>
      </c>
      <c r="H55" s="31"/>
      <c r="I55" s="31"/>
      <c r="J55" s="31"/>
      <c r="K55" s="140"/>
      <c r="L55" s="37"/>
      <c r="M55" s="37"/>
      <c r="N55" s="37"/>
      <c r="O55" s="37"/>
      <c r="P55" s="37"/>
      <c r="Q55" s="37"/>
      <c r="R55" s="37"/>
      <c r="S55" s="161"/>
    </row>
    <row r="56" spans="1:29" ht="15.75">
      <c r="A56" s="897" t="s">
        <v>439</v>
      </c>
      <c r="B56" s="871"/>
      <c r="C56" s="871"/>
      <c r="D56" s="871"/>
      <c r="E56" s="160"/>
      <c r="F56" s="31"/>
      <c r="G56" s="31"/>
      <c r="H56" s="31"/>
      <c r="I56" s="31"/>
      <c r="J56" s="31"/>
      <c r="K56" s="140"/>
      <c r="L56" s="31"/>
      <c r="M56" s="31"/>
      <c r="N56" s="31"/>
      <c r="O56" s="31"/>
      <c r="P56" s="31"/>
      <c r="Q56" s="31"/>
      <c r="R56" s="31"/>
      <c r="S56" s="162"/>
    </row>
    <row r="57" spans="1:29" ht="18">
      <c r="A57" s="163" t="s">
        <v>0</v>
      </c>
      <c r="B57" s="164" t="s">
        <v>440</v>
      </c>
      <c r="C57" s="164" t="s">
        <v>441</v>
      </c>
      <c r="D57" s="165" t="s">
        <v>442</v>
      </c>
      <c r="E57" s="76" t="s">
        <v>443</v>
      </c>
      <c r="F57" s="165" t="s">
        <v>444</v>
      </c>
      <c r="G57" s="47" t="s">
        <v>445</v>
      </c>
      <c r="H57" s="166" t="s">
        <v>446</v>
      </c>
      <c r="I57" s="167" t="s">
        <v>447</v>
      </c>
      <c r="J57" s="140"/>
      <c r="K57" s="31"/>
      <c r="L57" s="31"/>
      <c r="M57" s="31"/>
      <c r="N57" s="31"/>
      <c r="O57" s="31"/>
      <c r="P57" s="31"/>
      <c r="Q57" s="31"/>
      <c r="R57" s="168"/>
      <c r="S57" s="103"/>
    </row>
    <row r="58" spans="1:29" ht="18.75" thickBot="1">
      <c r="A58" s="169">
        <v>749</v>
      </c>
      <c r="B58" s="170">
        <f>LOOKUP(A58,numcargo,punbascargo)</f>
        <v>971</v>
      </c>
      <c r="C58" s="170">
        <f>LOOKUP(A58,numcargo,puntardifcargo)</f>
        <v>0</v>
      </c>
      <c r="D58" s="171">
        <f>LOOKUP(A58,numcargo,punproljorcargo)</f>
        <v>0</v>
      </c>
      <c r="E58" s="172">
        <f>LOOKUP(A58,numcargo,compbas16)</f>
        <v>414.7</v>
      </c>
      <c r="F58" s="173">
        <f>IF(AND(D62=1,LOOKUP(A58,numcargo,adicnina)&gt;0),LOOKUP(A58,numcargo,adicnina),0)</f>
        <v>0</v>
      </c>
      <c r="G58" s="173">
        <f>LOOKUP(A58,numcargo,adicdir2016)</f>
        <v>0</v>
      </c>
      <c r="H58" s="174">
        <f>LOOKUP(A58,numcargo,adicdir2022)</f>
        <v>0</v>
      </c>
      <c r="I58" s="175">
        <f>IF(AND(exten=1,LOOKUP(A58,numcargo,punexten)&gt;0),LOOKUP(A58,numcargo,punexten),0)</f>
        <v>0</v>
      </c>
      <c r="J58" s="140"/>
      <c r="K58" s="31"/>
      <c r="L58" s="31"/>
      <c r="M58" s="31"/>
      <c r="N58" s="31"/>
      <c r="O58" s="31"/>
      <c r="P58" s="31"/>
      <c r="Q58" s="31"/>
      <c r="R58" s="126"/>
      <c r="S58" s="103"/>
    </row>
    <row r="59" spans="1:29">
      <c r="A59" s="176" t="s">
        <v>448</v>
      </c>
      <c r="B59" s="177"/>
      <c r="C59" s="178" t="str">
        <f>LOOKUP(A58,numcargo,nombrecargo)</f>
        <v>Maestro De Ciclo</v>
      </c>
      <c r="D59" s="177"/>
      <c r="E59" s="179"/>
      <c r="F59" s="37"/>
      <c r="G59" s="37"/>
      <c r="H59" s="180" t="str">
        <f>A58&amp;""</f>
        <v>749</v>
      </c>
      <c r="I59" s="814" t="str">
        <f>C59</f>
        <v>Maestro De Ciclo</v>
      </c>
      <c r="J59" s="181"/>
      <c r="K59" s="182">
        <f>porantigcargo</f>
        <v>0</v>
      </c>
      <c r="L59" s="183"/>
      <c r="M59" s="184"/>
      <c r="N59" s="184"/>
      <c r="O59" s="184"/>
      <c r="P59" s="184"/>
      <c r="Q59" s="31"/>
      <c r="R59" s="31"/>
      <c r="S59" s="31"/>
    </row>
    <row r="60" spans="1:29" ht="15.75">
      <c r="A60" s="185" t="s">
        <v>449</v>
      </c>
      <c r="B60" s="185"/>
      <c r="C60" s="185"/>
      <c r="D60" s="185"/>
      <c r="E60" s="31"/>
      <c r="F60" s="37"/>
      <c r="G60" s="37"/>
      <c r="H60" s="186">
        <v>45992</v>
      </c>
      <c r="I60" s="187">
        <v>46054</v>
      </c>
      <c r="J60" s="187">
        <v>46143</v>
      </c>
      <c r="K60" s="187">
        <v>46204</v>
      </c>
      <c r="L60" s="187">
        <v>46266</v>
      </c>
      <c r="M60" s="188"/>
      <c r="N60" s="188"/>
      <c r="O60" s="188"/>
      <c r="P60" s="188"/>
      <c r="Q60" s="188"/>
      <c r="R60" s="188"/>
      <c r="S60" s="188"/>
    </row>
    <row r="61" spans="1:29" ht="21" thickBot="1">
      <c r="A61" s="189"/>
      <c r="B61" s="31"/>
      <c r="C61" s="31"/>
      <c r="D61" s="190"/>
      <c r="E61" s="191"/>
      <c r="F61" s="37"/>
      <c r="G61" s="192"/>
      <c r="H61" s="193">
        <f>Q66</f>
        <v>687207</v>
      </c>
      <c r="I61" s="194">
        <f>N66</f>
        <v>750000</v>
      </c>
      <c r="J61" s="195">
        <f>K66</f>
        <v>776250</v>
      </c>
      <c r="K61" s="195">
        <f>H66</f>
        <v>850000</v>
      </c>
      <c r="L61" s="195">
        <f>E66</f>
        <v>910805</v>
      </c>
      <c r="M61" s="196"/>
      <c r="N61" s="196"/>
      <c r="O61" s="196"/>
      <c r="P61" s="196"/>
      <c r="Q61" s="196"/>
      <c r="R61" s="196"/>
      <c r="S61" s="196"/>
    </row>
    <row r="62" spans="1:29" ht="16.5" thickTop="1">
      <c r="A62" s="31"/>
      <c r="B62" s="895" t="s">
        <v>450</v>
      </c>
      <c r="C62" s="896"/>
      <c r="D62" s="197">
        <v>0</v>
      </c>
      <c r="E62" s="198" t="s">
        <v>451</v>
      </c>
      <c r="F62" s="37"/>
      <c r="G62" s="192"/>
      <c r="H62" s="199" t="s">
        <v>452</v>
      </c>
      <c r="I62" s="200">
        <f>I61-$H61</f>
        <v>62793</v>
      </c>
      <c r="J62" s="200">
        <f t="shared" ref="J62:K62" si="7">J61-$H61</f>
        <v>89043</v>
      </c>
      <c r="K62" s="200">
        <f t="shared" si="7"/>
        <v>162793</v>
      </c>
      <c r="L62" s="200">
        <f t="shared" ref="L62" si="8">L61-$H61</f>
        <v>223598</v>
      </c>
      <c r="M62" s="201"/>
      <c r="N62" s="201"/>
      <c r="O62" s="201"/>
      <c r="P62" s="201"/>
      <c r="Q62" s="201"/>
      <c r="R62" s="201"/>
      <c r="S62" s="201"/>
    </row>
    <row r="63" spans="1:29" ht="18">
      <c r="A63" s="31"/>
      <c r="B63" s="884" t="s">
        <v>453</v>
      </c>
      <c r="C63" s="878"/>
      <c r="D63" s="202">
        <v>0</v>
      </c>
      <c r="E63" s="31" t="s">
        <v>454</v>
      </c>
      <c r="F63" s="37"/>
      <c r="G63" s="37"/>
      <c r="H63" s="203" t="s">
        <v>455</v>
      </c>
      <c r="I63" s="204">
        <f t="shared" ref="I63:J63" si="9">I62/$H61</f>
        <v>9.1374214756252486E-2</v>
      </c>
      <c r="J63" s="204">
        <f t="shared" si="9"/>
        <v>0.12957231227272131</v>
      </c>
      <c r="K63" s="204">
        <f t="shared" ref="K63:L63" si="10">K62/$H61</f>
        <v>0.23689077672375281</v>
      </c>
      <c r="L63" s="204">
        <f t="shared" si="10"/>
        <v>0.32537212222809136</v>
      </c>
      <c r="M63" s="205"/>
      <c r="N63" s="205"/>
      <c r="O63" s="205"/>
      <c r="P63" s="205"/>
      <c r="Q63" s="205"/>
      <c r="R63" s="205"/>
      <c r="S63" s="205"/>
    </row>
    <row r="64" spans="1:29" ht="16.5" thickBot="1">
      <c r="A64" s="31"/>
      <c r="B64" s="206"/>
      <c r="C64" s="31"/>
      <c r="D64" s="207">
        <f>LOOKUP(D63,escalaañosantig,escalaporcantig)</f>
        <v>0</v>
      </c>
      <c r="E64" s="37"/>
      <c r="F64" s="37"/>
      <c r="G64" s="37"/>
      <c r="H64" s="208" t="s">
        <v>456</v>
      </c>
      <c r="I64" s="855"/>
      <c r="J64" s="209"/>
      <c r="K64" s="210"/>
      <c r="L64" s="183"/>
      <c r="M64" s="184"/>
      <c r="N64" s="184"/>
      <c r="O64" s="184"/>
      <c r="P64" s="184"/>
      <c r="Q64" s="184"/>
      <c r="R64" s="184"/>
      <c r="S64" s="184"/>
    </row>
    <row r="65" spans="1:25" ht="24.75" thickTop="1" thickBot="1">
      <c r="A65" s="31"/>
      <c r="B65" s="885" t="s">
        <v>457</v>
      </c>
      <c r="C65" s="871"/>
      <c r="D65" s="211">
        <v>0</v>
      </c>
      <c r="E65" s="212" t="s">
        <v>458</v>
      </c>
      <c r="F65" s="856" t="s">
        <v>578</v>
      </c>
      <c r="G65" s="80"/>
      <c r="H65" s="212" t="s">
        <v>458</v>
      </c>
      <c r="I65" s="856" t="s">
        <v>559</v>
      </c>
      <c r="J65" s="856" t="s">
        <v>579</v>
      </c>
      <c r="K65" s="212" t="s">
        <v>458</v>
      </c>
      <c r="L65" s="856" t="s">
        <v>560</v>
      </c>
      <c r="M65" s="80"/>
      <c r="N65" s="212" t="s">
        <v>458</v>
      </c>
      <c r="O65" s="213"/>
      <c r="P65" s="80"/>
      <c r="Q65" s="212" t="s">
        <v>458</v>
      </c>
      <c r="R65" s="213"/>
      <c r="S65" s="31"/>
      <c r="T65" s="31"/>
      <c r="U65" s="31"/>
      <c r="V65" s="31"/>
      <c r="W65" s="31"/>
      <c r="X65" s="31"/>
      <c r="Y65" s="31"/>
    </row>
    <row r="66" spans="1:25" ht="21" thickBot="1">
      <c r="A66" s="31"/>
      <c r="B66" s="886" t="s">
        <v>459</v>
      </c>
      <c r="C66" s="871"/>
      <c r="D66" s="214">
        <f>PUNTOSbasicos</f>
        <v>971</v>
      </c>
      <c r="E66" s="215">
        <f>F105</f>
        <v>910805</v>
      </c>
      <c r="F66" s="857">
        <f>E66/1605497</f>
        <v>0.56730408091699958</v>
      </c>
      <c r="G66" s="31"/>
      <c r="H66" s="215">
        <f>I105</f>
        <v>850000</v>
      </c>
      <c r="I66" s="857">
        <f>H66/1531473</f>
        <v>0.55502121160477524</v>
      </c>
      <c r="J66" s="857">
        <f>H66/1564716</f>
        <v>0.54322957009450912</v>
      </c>
      <c r="K66" s="215">
        <f>L105</f>
        <v>776250</v>
      </c>
      <c r="L66" s="857">
        <f>K66/1469768</f>
        <v>0.52814457791978053</v>
      </c>
      <c r="M66" s="31"/>
      <c r="N66" s="215">
        <f>O105</f>
        <v>750000</v>
      </c>
      <c r="O66" s="216"/>
      <c r="P66" s="31"/>
      <c r="Q66" s="215">
        <f>R105</f>
        <v>687207</v>
      </c>
      <c r="R66" s="216"/>
      <c r="S66" s="31"/>
      <c r="T66" s="31"/>
      <c r="U66" s="31"/>
      <c r="V66" s="31"/>
      <c r="W66" s="31"/>
      <c r="X66" s="31"/>
      <c r="Y66" s="31"/>
    </row>
    <row r="67" spans="1:25" ht="16.5" thickTop="1">
      <c r="A67" s="31"/>
      <c r="B67" s="887" t="s">
        <v>460</v>
      </c>
      <c r="C67" s="888"/>
      <c r="D67" s="217">
        <f>D58</f>
        <v>0</v>
      </c>
      <c r="E67" s="218" t="s">
        <v>461</v>
      </c>
      <c r="F67" s="858"/>
      <c r="G67" s="31"/>
      <c r="H67" s="218" t="s">
        <v>461</v>
      </c>
      <c r="I67" s="858"/>
      <c r="J67" s="858"/>
      <c r="K67" s="218" t="s">
        <v>461</v>
      </c>
      <c r="L67" s="858"/>
      <c r="M67" s="31"/>
      <c r="N67" s="218" t="s">
        <v>461</v>
      </c>
      <c r="O67" s="219"/>
      <c r="P67" s="31"/>
      <c r="Q67" s="218" t="s">
        <v>461</v>
      </c>
      <c r="R67" s="219"/>
      <c r="S67" s="31"/>
      <c r="T67" s="31"/>
      <c r="U67" s="31"/>
      <c r="V67" s="31"/>
      <c r="W67" s="31"/>
      <c r="X67" s="31"/>
      <c r="Y67" s="37"/>
    </row>
    <row r="68" spans="1:25" ht="21" thickBot="1">
      <c r="A68" s="116"/>
      <c r="B68" s="220" t="s">
        <v>462</v>
      </c>
      <c r="C68" s="221"/>
      <c r="D68" s="222">
        <v>0</v>
      </c>
      <c r="E68" s="223">
        <f>E66-E91-E92-E95</f>
        <v>690732.34484287468</v>
      </c>
      <c r="F68" s="857">
        <f>E68/1605497</f>
        <v>0.43022960793005199</v>
      </c>
      <c r="G68" s="116"/>
      <c r="H68" s="223">
        <f>H66-H91-H92-H95</f>
        <v>667374.24622499989</v>
      </c>
      <c r="I68" s="857">
        <f>H68/1531473</f>
        <v>0.43577277968661537</v>
      </c>
      <c r="J68" s="857">
        <f>H68/1564716</f>
        <v>0.42651461749288683</v>
      </c>
      <c r="K68" s="223">
        <f>K66-K91-K92-K93-K94-K95</f>
        <v>644806.03499999992</v>
      </c>
      <c r="L68" s="857">
        <f>K68/1469768</f>
        <v>0.43871280025146819</v>
      </c>
      <c r="M68" s="116"/>
      <c r="N68" s="223">
        <f>N66-N91-N92-N93-N94-N95</f>
        <v>623001</v>
      </c>
      <c r="O68" s="224"/>
      <c r="P68" s="116"/>
      <c r="Q68" s="223">
        <f>Q66-Q91-Q92-Q95</f>
        <v>623001</v>
      </c>
      <c r="R68" s="224"/>
      <c r="S68" s="116"/>
      <c r="T68" s="116"/>
      <c r="U68" s="116"/>
      <c r="V68" s="91"/>
      <c r="W68" s="116"/>
      <c r="X68" s="116"/>
      <c r="Y68" s="116"/>
    </row>
    <row r="69" spans="1:25" ht="18.75" thickTop="1">
      <c r="A69" s="116"/>
      <c r="B69" s="116"/>
      <c r="C69" s="116"/>
      <c r="D69" s="225"/>
      <c r="E69" s="225"/>
      <c r="F69" s="225"/>
      <c r="G69" s="116"/>
      <c r="H69" s="225"/>
      <c r="I69" s="225"/>
      <c r="J69" s="116"/>
      <c r="K69" s="225"/>
      <c r="L69" s="225"/>
      <c r="M69" s="116"/>
      <c r="N69" s="225"/>
      <c r="O69" s="225"/>
      <c r="P69" s="116"/>
      <c r="Q69" s="22">
        <v>45992</v>
      </c>
      <c r="R69" s="37"/>
      <c r="S69" s="37"/>
      <c r="T69" s="37"/>
      <c r="U69" s="37"/>
      <c r="V69" s="37"/>
      <c r="W69" s="37"/>
      <c r="X69" s="37"/>
      <c r="Y69" s="37"/>
    </row>
    <row r="70" spans="1:25" ht="20.25">
      <c r="A70" s="116"/>
      <c r="B70" s="179"/>
      <c r="C70" s="179"/>
      <c r="D70" s="179"/>
      <c r="E70" s="866">
        <v>46266</v>
      </c>
      <c r="F70" s="867">
        <f>Aumentoseptiembre26</f>
        <v>0.10336174999999992</v>
      </c>
      <c r="G70" s="868"/>
      <c r="H70" s="807">
        <v>46204</v>
      </c>
      <c r="I70" s="808">
        <f>Aumentojulio26</f>
        <v>6.6049999999999942E-2</v>
      </c>
      <c r="J70" s="809"/>
      <c r="K70" s="807">
        <v>46143</v>
      </c>
      <c r="L70" s="808">
        <v>3.5000000000000003E-2</v>
      </c>
      <c r="M70" s="809"/>
      <c r="N70" s="807">
        <v>46054</v>
      </c>
      <c r="O70" s="808">
        <v>0</v>
      </c>
      <c r="P70" s="809"/>
      <c r="Q70" s="807">
        <v>45992</v>
      </c>
      <c r="R70" s="23"/>
      <c r="S70" s="91"/>
      <c r="T70" s="116"/>
      <c r="U70" s="116"/>
      <c r="V70" s="116"/>
      <c r="W70" s="116"/>
      <c r="X70" s="116"/>
      <c r="Y70" s="116"/>
    </row>
    <row r="71" spans="1:25" ht="15.75">
      <c r="A71" s="116"/>
      <c r="B71" s="226" t="s">
        <v>463</v>
      </c>
      <c r="C71" s="227" t="s">
        <v>464</v>
      </c>
      <c r="D71" s="228" t="s">
        <v>465</v>
      </c>
      <c r="E71" s="228" t="s">
        <v>466</v>
      </c>
      <c r="F71" s="228" t="s">
        <v>467</v>
      </c>
      <c r="G71" s="229"/>
      <c r="H71" s="228" t="s">
        <v>466</v>
      </c>
      <c r="I71" s="228" t="s">
        <v>467</v>
      </c>
      <c r="J71" s="229"/>
      <c r="K71" s="228" t="s">
        <v>466</v>
      </c>
      <c r="L71" s="228" t="s">
        <v>467</v>
      </c>
      <c r="M71" s="229"/>
      <c r="N71" s="228" t="s">
        <v>466</v>
      </c>
      <c r="O71" s="228" t="s">
        <v>467</v>
      </c>
      <c r="P71" s="229"/>
      <c r="Q71" s="228" t="s">
        <v>466</v>
      </c>
      <c r="R71" s="228" t="s">
        <v>467</v>
      </c>
      <c r="S71" s="229"/>
      <c r="T71" s="116"/>
      <c r="U71" s="116"/>
      <c r="V71" s="116"/>
      <c r="W71" s="116"/>
      <c r="X71" s="116"/>
      <c r="Y71" s="116"/>
    </row>
    <row r="72" spans="1:25" ht="15.75">
      <c r="A72" s="116"/>
      <c r="B72" s="230">
        <v>1</v>
      </c>
      <c r="C72" s="231"/>
      <c r="D72" s="231" t="s">
        <v>468</v>
      </c>
      <c r="E72" s="640">
        <f t="shared" ref="E72:E78" si="11">E142</f>
        <v>282869.97631703992</v>
      </c>
      <c r="F72" s="231"/>
      <c r="G72" s="232"/>
      <c r="H72" s="640">
        <f t="shared" ref="H72:H78" si="12">H142</f>
        <v>273304.32494399999</v>
      </c>
      <c r="I72" s="231"/>
      <c r="J72" s="232"/>
      <c r="K72" s="640">
        <f t="shared" ref="K72:K78" si="13">K142</f>
        <v>265344.0048</v>
      </c>
      <c r="L72" s="231"/>
      <c r="M72" s="232"/>
      <c r="N72" s="231">
        <f t="shared" ref="N72:N78" si="14">N142</f>
        <v>256370.96975318494</v>
      </c>
      <c r="O72" s="231"/>
      <c r="P72" s="232"/>
      <c r="Q72" s="231">
        <f t="shared" ref="Q72:Q78" si="15">Q142</f>
        <v>256370.96975318494</v>
      </c>
      <c r="R72" s="231"/>
      <c r="S72" s="232"/>
      <c r="T72" s="116"/>
      <c r="U72" s="116"/>
      <c r="V72" s="116"/>
      <c r="W72" s="116"/>
      <c r="X72" s="116"/>
      <c r="Y72" s="37"/>
    </row>
    <row r="73" spans="1:25" ht="15.75">
      <c r="A73" s="116"/>
      <c r="B73" s="233">
        <v>2</v>
      </c>
      <c r="C73" s="234"/>
      <c r="D73" s="234" t="s">
        <v>469</v>
      </c>
      <c r="E73" s="638">
        <f t="shared" si="11"/>
        <v>120809.65929832797</v>
      </c>
      <c r="F73" s="234"/>
      <c r="G73" s="232"/>
      <c r="H73" s="638">
        <f t="shared" si="12"/>
        <v>116724.30850079999</v>
      </c>
      <c r="I73" s="234"/>
      <c r="J73" s="232"/>
      <c r="K73" s="638">
        <f t="shared" si="13"/>
        <v>113324.57136</v>
      </c>
      <c r="L73" s="234"/>
      <c r="M73" s="232"/>
      <c r="N73" s="234">
        <f t="shared" si="14"/>
        <v>109492.31838995447</v>
      </c>
      <c r="O73" s="234"/>
      <c r="P73" s="232"/>
      <c r="Q73" s="234">
        <f t="shared" si="15"/>
        <v>109492.31838995447</v>
      </c>
      <c r="R73" s="234"/>
      <c r="S73" s="232"/>
      <c r="T73" s="116"/>
      <c r="U73" s="116"/>
      <c r="V73" s="116"/>
      <c r="W73" s="116"/>
      <c r="X73" s="116"/>
      <c r="Y73" s="116"/>
    </row>
    <row r="74" spans="1:25" ht="15.75">
      <c r="A74" s="116"/>
      <c r="B74" s="235" t="s">
        <v>470</v>
      </c>
      <c r="C74" s="236"/>
      <c r="D74" s="236" t="s">
        <v>462</v>
      </c>
      <c r="E74" s="798">
        <f t="shared" si="11"/>
        <v>0</v>
      </c>
      <c r="F74" s="236"/>
      <c r="G74" s="237"/>
      <c r="H74" s="798">
        <f t="shared" si="12"/>
        <v>0</v>
      </c>
      <c r="I74" s="236"/>
      <c r="J74" s="237"/>
      <c r="K74" s="798">
        <f t="shared" si="13"/>
        <v>0</v>
      </c>
      <c r="L74" s="236"/>
      <c r="M74" s="237"/>
      <c r="N74" s="236">
        <f t="shared" si="14"/>
        <v>0</v>
      </c>
      <c r="O74" s="236"/>
      <c r="P74" s="237"/>
      <c r="Q74" s="236">
        <f t="shared" si="15"/>
        <v>0</v>
      </c>
      <c r="R74" s="236"/>
      <c r="S74" s="237"/>
      <c r="T74" s="116"/>
      <c r="U74" s="116"/>
      <c r="V74" s="116"/>
      <c r="W74" s="116"/>
      <c r="X74" s="116"/>
      <c r="Y74" s="116"/>
    </row>
    <row r="75" spans="1:25" ht="15.75">
      <c r="A75" s="116"/>
      <c r="B75" s="238" t="s">
        <v>471</v>
      </c>
      <c r="C75" s="231"/>
      <c r="D75" s="231" t="s">
        <v>472</v>
      </c>
      <c r="E75" s="640">
        <f t="shared" si="11"/>
        <v>0</v>
      </c>
      <c r="F75" s="231">
        <f>468108*1.1</f>
        <v>514918.80000000005</v>
      </c>
      <c r="G75" s="232"/>
      <c r="H75" s="640">
        <f t="shared" si="12"/>
        <v>0</v>
      </c>
      <c r="I75" s="231">
        <f>468108*1.1</f>
        <v>514918.80000000005</v>
      </c>
      <c r="J75" s="232"/>
      <c r="K75" s="640">
        <f t="shared" si="13"/>
        <v>0</v>
      </c>
      <c r="L75" s="231">
        <f>468108*1.1</f>
        <v>514918.80000000005</v>
      </c>
      <c r="M75" s="232"/>
      <c r="N75" s="231">
        <f t="shared" si="14"/>
        <v>0</v>
      </c>
      <c r="O75" s="231">
        <f>468108*1.1</f>
        <v>514918.80000000005</v>
      </c>
      <c r="P75" s="232"/>
      <c r="Q75" s="231">
        <f t="shared" si="15"/>
        <v>0</v>
      </c>
      <c r="R75" s="231">
        <f>468108*1.1</f>
        <v>514918.80000000005</v>
      </c>
      <c r="S75" s="232"/>
      <c r="T75" s="116"/>
      <c r="U75" s="116"/>
      <c r="V75" s="116"/>
      <c r="W75" s="116"/>
      <c r="X75" s="116"/>
      <c r="Y75" s="116"/>
    </row>
    <row r="76" spans="1:25" ht="15.75">
      <c r="A76" s="116"/>
      <c r="B76" s="233">
        <v>5</v>
      </c>
      <c r="C76" s="234"/>
      <c r="D76" s="234" t="s">
        <v>473</v>
      </c>
      <c r="E76" s="638">
        <f t="shared" si="11"/>
        <v>0</v>
      </c>
      <c r="F76" s="234"/>
      <c r="G76" s="232"/>
      <c r="H76" s="638">
        <f t="shared" si="12"/>
        <v>0</v>
      </c>
      <c r="I76" s="234"/>
      <c r="J76" s="232"/>
      <c r="K76" s="638">
        <f t="shared" si="13"/>
        <v>0</v>
      </c>
      <c r="L76" s="234"/>
      <c r="M76" s="232"/>
      <c r="N76" s="234">
        <f t="shared" si="14"/>
        <v>0</v>
      </c>
      <c r="O76" s="234"/>
      <c r="P76" s="232"/>
      <c r="Q76" s="234">
        <f t="shared" si="15"/>
        <v>0</v>
      </c>
      <c r="R76" s="234"/>
      <c r="S76" s="232"/>
      <c r="T76" s="116"/>
      <c r="U76" s="116"/>
      <c r="V76" s="116"/>
      <c r="W76" s="116"/>
      <c r="X76" s="116"/>
      <c r="Y76" s="116"/>
    </row>
    <row r="77" spans="1:25" ht="15.75">
      <c r="A77" s="116"/>
      <c r="B77" s="238">
        <v>6</v>
      </c>
      <c r="C77" s="231"/>
      <c r="D77" s="231" t="s">
        <v>474</v>
      </c>
      <c r="E77" s="640">
        <f t="shared" si="11"/>
        <v>228473.57164879452</v>
      </c>
      <c r="F77" s="231"/>
      <c r="G77" s="232"/>
      <c r="H77" s="640">
        <f t="shared" si="12"/>
        <v>220747.41222105752</v>
      </c>
      <c r="I77" s="231"/>
      <c r="J77" s="232"/>
      <c r="K77" s="640">
        <f t="shared" si="13"/>
        <v>214317.87594277429</v>
      </c>
      <c r="L77" s="231"/>
      <c r="M77" s="232"/>
      <c r="N77" s="231">
        <f t="shared" si="14"/>
        <v>207070.41153891236</v>
      </c>
      <c r="O77" s="231"/>
      <c r="P77" s="232"/>
      <c r="Q77" s="231">
        <f t="shared" si="15"/>
        <v>207070.41153891236</v>
      </c>
      <c r="R77" s="231"/>
      <c r="S77" s="232"/>
      <c r="T77" s="116"/>
      <c r="U77" s="116"/>
      <c r="V77" s="116"/>
      <c r="W77" s="116"/>
      <c r="X77" s="116"/>
      <c r="Y77" s="116"/>
    </row>
    <row r="78" spans="1:25" ht="15.75">
      <c r="A78" s="116"/>
      <c r="B78" s="233">
        <v>10</v>
      </c>
      <c r="C78" s="239">
        <f>C148</f>
        <v>0</v>
      </c>
      <c r="D78" s="234" t="s">
        <v>475</v>
      </c>
      <c r="E78" s="638">
        <f t="shared" si="11"/>
        <v>0</v>
      </c>
      <c r="F78" s="234"/>
      <c r="G78" s="232"/>
      <c r="H78" s="638">
        <f t="shared" si="12"/>
        <v>0</v>
      </c>
      <c r="I78" s="234"/>
      <c r="J78" s="232"/>
      <c r="K78" s="638">
        <f t="shared" si="13"/>
        <v>0</v>
      </c>
      <c r="L78" s="234"/>
      <c r="M78" s="232"/>
      <c r="N78" s="234">
        <f t="shared" si="14"/>
        <v>0</v>
      </c>
      <c r="O78" s="234"/>
      <c r="P78" s="232"/>
      <c r="Q78" s="234">
        <f t="shared" si="15"/>
        <v>0</v>
      </c>
      <c r="R78" s="234"/>
      <c r="S78" s="232"/>
      <c r="T78" s="116"/>
      <c r="U78" s="116"/>
      <c r="V78" s="116"/>
      <c r="W78" s="116"/>
      <c r="X78" s="116"/>
      <c r="Y78" s="116"/>
    </row>
    <row r="79" spans="1:25" ht="15.75">
      <c r="A79" s="116"/>
      <c r="B79" s="238">
        <v>14</v>
      </c>
      <c r="C79" s="240">
        <v>7.0000000000000007E-2</v>
      </c>
      <c r="D79" s="231" t="s">
        <v>476</v>
      </c>
      <c r="E79" s="640">
        <f>E149</f>
        <v>15993.150015415618</v>
      </c>
      <c r="F79" s="231"/>
      <c r="G79" s="241">
        <f t="shared" ref="G79:G84" si="16">G149</f>
        <v>171609.63176520984</v>
      </c>
      <c r="H79" s="640">
        <f>H149</f>
        <v>15452.318855474028</v>
      </c>
      <c r="I79" s="231"/>
      <c r="J79" s="241">
        <f t="shared" ref="J79:J84" si="17">J149</f>
        <v>165806.40750261827</v>
      </c>
      <c r="K79" s="640">
        <f>K149</f>
        <v>15002.251315994203</v>
      </c>
      <c r="L79" s="231"/>
      <c r="M79" s="241">
        <f t="shared" ref="M79:M84" si="18">M149</f>
        <v>157226.64368802353</v>
      </c>
      <c r="N79" s="231">
        <f>N149</f>
        <v>14494.928807723867</v>
      </c>
      <c r="O79" s="231"/>
      <c r="P79" s="241">
        <f t="shared" ref="P79:P84" si="19">P149</f>
        <v>151909.87113031338</v>
      </c>
      <c r="Q79" s="231">
        <f>Q149</f>
        <v>14494.928807723867</v>
      </c>
      <c r="R79" s="231"/>
      <c r="S79" s="241">
        <f t="shared" ref="S79:S84" si="20">S149</f>
        <v>151909.87113031338</v>
      </c>
      <c r="T79" s="116"/>
      <c r="U79" s="116"/>
      <c r="V79" s="116"/>
      <c r="W79" s="116"/>
      <c r="X79" s="116"/>
      <c r="Y79" s="116"/>
    </row>
    <row r="80" spans="1:25" ht="15.75">
      <c r="A80" s="116"/>
      <c r="B80" s="233">
        <v>188</v>
      </c>
      <c r="C80" s="239">
        <v>7.0000000000000007E-2</v>
      </c>
      <c r="D80" s="234" t="s">
        <v>477</v>
      </c>
      <c r="E80" s="638">
        <f>E150</f>
        <v>41940.308095057946</v>
      </c>
      <c r="F80" s="234"/>
      <c r="G80" s="242"/>
      <c r="H80" s="638">
        <f>H150</f>
        <v>40522.036806819277</v>
      </c>
      <c r="I80" s="234"/>
      <c r="J80" s="242"/>
      <c r="K80" s="638">
        <f>K150</f>
        <v>39079.251739361651</v>
      </c>
      <c r="L80" s="234"/>
      <c r="M80" s="242"/>
      <c r="N80" s="234">
        <f>N150</f>
        <v>37757.731149141699</v>
      </c>
      <c r="O80" s="234"/>
      <c r="P80" s="242"/>
      <c r="Q80" s="234">
        <f>Q150</f>
        <v>37757.731149141699</v>
      </c>
      <c r="R80" s="234"/>
      <c r="S80" s="242"/>
      <c r="T80" s="116"/>
      <c r="U80" s="116"/>
      <c r="V80" s="116"/>
      <c r="W80" s="116"/>
      <c r="X80" s="116"/>
      <c r="Y80" s="116"/>
    </row>
    <row r="81" spans="1:25" ht="15.75">
      <c r="A81" s="116"/>
      <c r="B81" s="238">
        <v>52</v>
      </c>
      <c r="C81" s="231"/>
      <c r="D81" s="231" t="s">
        <v>478</v>
      </c>
      <c r="E81" s="640">
        <f>E151</f>
        <v>0</v>
      </c>
      <c r="F81" s="231"/>
      <c r="G81" s="242">
        <f t="shared" si="16"/>
        <v>596616.68455577409</v>
      </c>
      <c r="H81" s="640">
        <f>H151</f>
        <v>0</v>
      </c>
      <c r="I81" s="231"/>
      <c r="J81" s="242">
        <f t="shared" si="17"/>
        <v>576441.24111668998</v>
      </c>
      <c r="K81" s="640">
        <f>K151</f>
        <v>0</v>
      </c>
      <c r="L81" s="231"/>
      <c r="M81" s="242">
        <f t="shared" si="18"/>
        <v>556948.05904994207</v>
      </c>
      <c r="N81" s="231">
        <f>N151</f>
        <v>0</v>
      </c>
      <c r="O81" s="231"/>
      <c r="P81" s="242">
        <f t="shared" si="19"/>
        <v>538114.06671491987</v>
      </c>
      <c r="Q81" s="231">
        <f>Q151</f>
        <v>0</v>
      </c>
      <c r="R81" s="231"/>
      <c r="S81" s="242">
        <f t="shared" si="20"/>
        <v>538114.06671491987</v>
      </c>
      <c r="T81" s="116"/>
      <c r="U81" s="116"/>
      <c r="V81" s="116"/>
      <c r="W81" s="116"/>
      <c r="X81" s="116"/>
      <c r="Y81" s="116"/>
    </row>
    <row r="82" spans="1:25" ht="15.75">
      <c r="A82" s="116"/>
      <c r="B82" s="233">
        <v>16</v>
      </c>
      <c r="C82" s="234"/>
      <c r="D82" s="234" t="s">
        <v>479</v>
      </c>
      <c r="E82" s="638">
        <f>E152</f>
        <v>0</v>
      </c>
      <c r="F82" s="234"/>
      <c r="G82" s="242">
        <f t="shared" si="16"/>
        <v>58842.245847284255</v>
      </c>
      <c r="H82" s="638">
        <f>H152</f>
        <v>0</v>
      </c>
      <c r="I82" s="234"/>
      <c r="J82" s="242">
        <f t="shared" si="17"/>
        <v>56852.411446651444</v>
      </c>
      <c r="K82" s="638">
        <f>K152</f>
        <v>0</v>
      </c>
      <c r="L82" s="234"/>
      <c r="M82" s="242">
        <f t="shared" si="18"/>
        <v>51957.082281292351</v>
      </c>
      <c r="N82" s="234">
        <f>N152</f>
        <v>0</v>
      </c>
      <c r="O82" s="234"/>
      <c r="P82" s="242">
        <f t="shared" si="19"/>
        <v>50200.149964389449</v>
      </c>
      <c r="Q82" s="234">
        <f>Q152</f>
        <v>0</v>
      </c>
      <c r="R82" s="234"/>
      <c r="S82" s="242">
        <f t="shared" si="20"/>
        <v>50200.149964389449</v>
      </c>
      <c r="T82" s="116"/>
      <c r="U82" s="116"/>
      <c r="V82" s="116"/>
      <c r="W82" s="116"/>
      <c r="X82" s="116"/>
      <c r="Y82" s="116"/>
    </row>
    <row r="83" spans="1:25" ht="16.5" thickBot="1">
      <c r="A83" s="116"/>
      <c r="B83" s="238">
        <v>78</v>
      </c>
      <c r="C83" s="243">
        <v>0</v>
      </c>
      <c r="D83" s="231" t="s">
        <v>480</v>
      </c>
      <c r="E83" s="640">
        <f>E153</f>
        <v>0</v>
      </c>
      <c r="F83" s="231"/>
      <c r="G83" s="242">
        <f t="shared" si="16"/>
        <v>690732.34484287479</v>
      </c>
      <c r="H83" s="640">
        <f>H153</f>
        <v>0</v>
      </c>
      <c r="I83" s="231"/>
      <c r="J83" s="242">
        <f t="shared" si="17"/>
        <v>667374.24622499989</v>
      </c>
      <c r="K83" s="640">
        <f>K153</f>
        <v>0</v>
      </c>
      <c r="L83" s="231"/>
      <c r="M83" s="242">
        <f t="shared" si="18"/>
        <v>644806.03499999992</v>
      </c>
      <c r="N83" s="231">
        <f>N153</f>
        <v>0</v>
      </c>
      <c r="O83" s="231"/>
      <c r="P83" s="242">
        <f t="shared" si="19"/>
        <v>623001</v>
      </c>
      <c r="Q83" s="231">
        <f>Q153</f>
        <v>0</v>
      </c>
      <c r="R83" s="231"/>
      <c r="S83" s="242">
        <f t="shared" si="20"/>
        <v>623001</v>
      </c>
      <c r="T83" s="116"/>
      <c r="U83" s="116"/>
      <c r="V83" s="116"/>
      <c r="W83" s="116"/>
      <c r="X83" s="116"/>
      <c r="Y83" s="116"/>
    </row>
    <row r="84" spans="1:25" ht="16.5" thickBot="1">
      <c r="A84" s="244"/>
      <c r="B84" s="245">
        <v>185</v>
      </c>
      <c r="C84" s="246"/>
      <c r="D84" s="246" t="s">
        <v>481</v>
      </c>
      <c r="E84" s="799">
        <f>E154</f>
        <v>171609.63176520984</v>
      </c>
      <c r="F84" s="246"/>
      <c r="G84" s="247">
        <f t="shared" si="16"/>
        <v>171609.63176520984</v>
      </c>
      <c r="H84" s="799">
        <f>H154</f>
        <v>165806.40750261827</v>
      </c>
      <c r="I84" s="246"/>
      <c r="J84" s="247">
        <f t="shared" si="17"/>
        <v>165806.40750261827</v>
      </c>
      <c r="K84" s="799">
        <f>K154</f>
        <v>157226.64368802353</v>
      </c>
      <c r="L84" s="246"/>
      <c r="M84" s="247">
        <f t="shared" si="18"/>
        <v>157226.64368802353</v>
      </c>
      <c r="N84" s="246">
        <f>N154</f>
        <v>151909.87113031338</v>
      </c>
      <c r="O84" s="246"/>
      <c r="P84" s="247">
        <f t="shared" si="19"/>
        <v>151909.87113031338</v>
      </c>
      <c r="Q84" s="246">
        <f>Q154</f>
        <v>151909.87113031338</v>
      </c>
      <c r="R84" s="246"/>
      <c r="S84" s="247">
        <f t="shared" si="20"/>
        <v>151909.87113031338</v>
      </c>
      <c r="T84" s="244"/>
      <c r="U84" s="244"/>
      <c r="V84" s="244"/>
      <c r="W84" s="244"/>
      <c r="X84" s="244"/>
      <c r="Y84" s="244"/>
    </row>
    <row r="85" spans="1:25" ht="16.5" thickBot="1">
      <c r="A85" s="116"/>
      <c r="B85" s="230">
        <v>117</v>
      </c>
      <c r="C85" s="248">
        <v>1</v>
      </c>
      <c r="D85" s="249" t="s">
        <v>482</v>
      </c>
      <c r="E85" s="800">
        <f>E155</f>
        <v>23857.991120249997</v>
      </c>
      <c r="F85" s="249"/>
      <c r="G85" s="250"/>
      <c r="H85" s="800">
        <f>H155</f>
        <v>23051.19915</v>
      </c>
      <c r="I85" s="249"/>
      <c r="J85" s="250"/>
      <c r="K85" s="800">
        <f>K155</f>
        <v>22379.804999999997</v>
      </c>
      <c r="L85" s="249"/>
      <c r="M85" s="250"/>
      <c r="N85" s="249">
        <f>N155</f>
        <v>21623</v>
      </c>
      <c r="O85" s="249"/>
      <c r="P85" s="250"/>
      <c r="Q85" s="249">
        <f>Q155</f>
        <v>21623</v>
      </c>
      <c r="R85" s="249"/>
      <c r="S85" s="250"/>
      <c r="T85" s="116"/>
      <c r="U85" s="116"/>
      <c r="V85" s="116"/>
      <c r="W85" s="116"/>
      <c r="X85" s="116"/>
      <c r="Y85" s="116"/>
    </row>
    <row r="86" spans="1:25" ht="16.5" thickBot="1">
      <c r="A86" s="116"/>
      <c r="B86" s="251">
        <v>25</v>
      </c>
      <c r="C86" s="252">
        <v>1</v>
      </c>
      <c r="D86" s="253" t="s">
        <v>483</v>
      </c>
      <c r="E86" s="801">
        <f>E156</f>
        <v>0</v>
      </c>
      <c r="F86" s="254"/>
      <c r="G86" s="255"/>
      <c r="H86" s="801">
        <f>H156</f>
        <v>0</v>
      </c>
      <c r="I86" s="254"/>
      <c r="J86" s="255"/>
      <c r="K86" s="801">
        <f>K156</f>
        <v>0</v>
      </c>
      <c r="L86" s="254"/>
      <c r="M86" s="255"/>
      <c r="N86" s="254">
        <f>N156</f>
        <v>0</v>
      </c>
      <c r="O86" s="254"/>
      <c r="P86" s="255"/>
      <c r="Q86" s="254">
        <f>Q156</f>
        <v>0</v>
      </c>
      <c r="R86" s="254"/>
      <c r="S86" s="255"/>
      <c r="T86" s="116"/>
      <c r="U86" s="116"/>
      <c r="V86" s="116"/>
      <c r="W86" s="116"/>
      <c r="X86" s="116"/>
      <c r="Y86" s="116"/>
    </row>
    <row r="87" spans="1:25" ht="16.5" thickBot="1">
      <c r="A87" s="116"/>
      <c r="B87" s="908">
        <v>32</v>
      </c>
      <c r="C87" s="909"/>
      <c r="D87" s="910" t="str">
        <f>D157</f>
        <v>Antig Sobre Código 25</v>
      </c>
      <c r="E87" s="910">
        <f>E157</f>
        <v>0</v>
      </c>
      <c r="F87" s="915" t="s">
        <v>573</v>
      </c>
      <c r="G87" s="905"/>
      <c r="H87" s="911" t="s">
        <v>572</v>
      </c>
      <c r="I87" s="907"/>
      <c r="J87" s="905"/>
      <c r="K87" s="906"/>
      <c r="L87" s="907"/>
      <c r="M87" s="905"/>
      <c r="N87" s="907"/>
      <c r="O87" s="907"/>
      <c r="P87" s="905"/>
      <c r="Q87" s="907"/>
      <c r="R87" s="907"/>
      <c r="S87" s="905"/>
      <c r="T87" s="116"/>
      <c r="U87" s="116"/>
      <c r="V87" s="116"/>
      <c r="W87" s="116"/>
      <c r="X87" s="116"/>
      <c r="Y87" s="116"/>
    </row>
    <row r="88" spans="1:25" ht="15.75">
      <c r="A88" s="116"/>
      <c r="B88" s="256">
        <v>29</v>
      </c>
      <c r="C88" s="257">
        <f>cantkm</f>
        <v>0</v>
      </c>
      <c r="D88" s="258" t="s">
        <v>484</v>
      </c>
      <c r="E88" s="802">
        <f>E158</f>
        <v>0</v>
      </c>
      <c r="F88" s="258"/>
      <c r="G88" s="250">
        <f>G158</f>
        <v>891903.65967224992</v>
      </c>
      <c r="H88" s="802">
        <f>H158</f>
        <v>0</v>
      </c>
      <c r="I88" s="258"/>
      <c r="J88" s="250">
        <f>J158</f>
        <v>861742.66634999996</v>
      </c>
      <c r="K88" s="802">
        <f>K158</f>
        <v>0</v>
      </c>
      <c r="L88" s="258"/>
      <c r="M88" s="250">
        <f>M158</f>
        <v>832601.61</v>
      </c>
      <c r="N88" s="258">
        <f>N158</f>
        <v>0</v>
      </c>
      <c r="O88" s="258"/>
      <c r="P88" s="250">
        <f>P158</f>
        <v>804446</v>
      </c>
      <c r="Q88" s="258">
        <f>Q158</f>
        <v>0</v>
      </c>
      <c r="R88" s="258"/>
      <c r="S88" s="250">
        <f>S158</f>
        <v>804446</v>
      </c>
      <c r="T88" s="116"/>
      <c r="U88" s="116"/>
      <c r="V88" s="116"/>
      <c r="W88" s="116"/>
      <c r="X88" s="116"/>
      <c r="Y88" s="116"/>
    </row>
    <row r="89" spans="1:25" ht="15.75">
      <c r="A89" s="116"/>
      <c r="B89" s="238" t="s">
        <v>485</v>
      </c>
      <c r="C89" s="231" t="s">
        <v>486</v>
      </c>
      <c r="D89" s="231"/>
      <c r="E89" s="803">
        <v>0</v>
      </c>
      <c r="F89" s="231"/>
      <c r="G89" s="242">
        <f>G159</f>
        <v>412648.82997917477</v>
      </c>
      <c r="H89" s="803">
        <v>0</v>
      </c>
      <c r="I89" s="231"/>
      <c r="J89" s="242">
        <f>J159</f>
        <v>398694.52171900944</v>
      </c>
      <c r="K89" s="803">
        <v>0</v>
      </c>
      <c r="L89" s="231"/>
      <c r="M89" s="242">
        <f>M159</f>
        <v>382239.3144284981</v>
      </c>
      <c r="N89" s="259">
        <v>0</v>
      </c>
      <c r="O89" s="231"/>
      <c r="P89" s="242">
        <f>P159</f>
        <v>369313.41773946746</v>
      </c>
      <c r="Q89" s="259">
        <v>0</v>
      </c>
      <c r="R89" s="231"/>
      <c r="S89" s="242">
        <f>S159</f>
        <v>369313.41773946746</v>
      </c>
      <c r="T89" s="116"/>
      <c r="U89" s="116"/>
      <c r="V89" s="116"/>
      <c r="W89" s="116"/>
      <c r="X89" s="116"/>
      <c r="Y89" s="116"/>
    </row>
    <row r="90" spans="1:25" ht="15.75">
      <c r="A90" s="116"/>
      <c r="B90" s="233"/>
      <c r="C90" s="234"/>
      <c r="D90" s="260" t="s">
        <v>487</v>
      </c>
      <c r="E90" s="804">
        <f>E160</f>
        <v>885554.28826009575</v>
      </c>
      <c r="F90" s="260"/>
      <c r="G90" s="261"/>
      <c r="H90" s="804">
        <f>H160</f>
        <v>855608.00798076903</v>
      </c>
      <c r="I90" s="260"/>
      <c r="J90" s="261"/>
      <c r="K90" s="804">
        <f>K160</f>
        <v>826674.40384615376</v>
      </c>
      <c r="L90" s="260"/>
      <c r="M90" s="261"/>
      <c r="N90" s="260">
        <f>N160</f>
        <v>798719.23076923075</v>
      </c>
      <c r="O90" s="260"/>
      <c r="P90" s="261"/>
      <c r="Q90" s="260">
        <f>Q160</f>
        <v>798719.23076923075</v>
      </c>
      <c r="R90" s="260"/>
      <c r="S90" s="261"/>
      <c r="T90" s="116"/>
      <c r="U90" s="116"/>
      <c r="V90" s="116"/>
      <c r="W90" s="116"/>
      <c r="X90" s="116"/>
      <c r="Y90" s="116"/>
    </row>
    <row r="91" spans="1:25" ht="15.75">
      <c r="A91" s="116"/>
      <c r="B91" s="828">
        <v>184</v>
      </c>
      <c r="C91" s="262">
        <v>1</v>
      </c>
      <c r="D91" s="231" t="s">
        <v>488</v>
      </c>
      <c r="E91" s="826">
        <f>E161</f>
        <v>87070</v>
      </c>
      <c r="F91" s="231"/>
      <c r="G91" s="232"/>
      <c r="H91" s="826">
        <f>H161</f>
        <v>87070</v>
      </c>
      <c r="I91" s="231"/>
      <c r="J91" s="232"/>
      <c r="K91" s="826">
        <f>K161</f>
        <v>36752.400000000001</v>
      </c>
      <c r="L91" s="231"/>
      <c r="M91" s="232"/>
      <c r="N91" s="231">
        <f>N161</f>
        <v>36752.400000000001</v>
      </c>
      <c r="O91" s="231"/>
      <c r="P91" s="232"/>
      <c r="Q91" s="231">
        <f>Q161</f>
        <v>36752.400000000001</v>
      </c>
      <c r="R91" s="231"/>
      <c r="S91" s="232"/>
      <c r="T91" s="116"/>
      <c r="U91" s="116"/>
      <c r="V91" s="116"/>
      <c r="W91" s="116"/>
      <c r="X91" s="116"/>
      <c r="Y91" s="116"/>
    </row>
    <row r="92" spans="1:25" ht="15.75">
      <c r="A92" s="116"/>
      <c r="B92" s="829">
        <v>204</v>
      </c>
      <c r="C92" s="263">
        <v>1</v>
      </c>
      <c r="D92" s="822" t="s">
        <v>489</v>
      </c>
      <c r="E92" s="827">
        <f>E162</f>
        <v>62148</v>
      </c>
      <c r="F92" s="823"/>
      <c r="G92" s="824"/>
      <c r="H92" s="827">
        <f>H162</f>
        <v>62148</v>
      </c>
      <c r="I92" s="823"/>
      <c r="J92" s="824"/>
      <c r="K92" s="827">
        <f>K162</f>
        <v>27453.67</v>
      </c>
      <c r="L92" s="823"/>
      <c r="M92" s="824"/>
      <c r="N92" s="823">
        <f>N162</f>
        <v>27453.599999999999</v>
      </c>
      <c r="O92" s="231"/>
      <c r="P92" s="232"/>
      <c r="Q92" s="231">
        <f>Q162</f>
        <v>27453.599999999999</v>
      </c>
      <c r="R92" s="231"/>
      <c r="S92" s="232"/>
      <c r="T92" s="116"/>
      <c r="U92" s="116"/>
      <c r="V92" s="116"/>
      <c r="W92" s="116"/>
      <c r="X92" s="116"/>
      <c r="Y92" s="116"/>
    </row>
    <row r="93" spans="1:25" ht="15.75">
      <c r="A93" s="116"/>
      <c r="B93" s="830">
        <v>234</v>
      </c>
      <c r="C93" s="263">
        <v>1</v>
      </c>
      <c r="D93" s="820" t="s">
        <v>549</v>
      </c>
      <c r="E93" s="827" t="str">
        <f>E163</f>
        <v>Se agregó al 184</v>
      </c>
      <c r="F93" s="833" t="s">
        <v>552</v>
      </c>
      <c r="G93" s="232"/>
      <c r="H93" s="827" t="str">
        <f t="shared" ref="H93:H94" si="21">H163</f>
        <v>Se agregó al 184</v>
      </c>
      <c r="I93" s="833" t="s">
        <v>552</v>
      </c>
      <c r="J93" s="232"/>
      <c r="K93" s="827">
        <f t="shared" ref="K93:K94" si="22">K163</f>
        <v>0</v>
      </c>
      <c r="L93" s="833" t="s">
        <v>552</v>
      </c>
      <c r="M93" s="232"/>
      <c r="N93" s="819"/>
      <c r="O93" s="231"/>
      <c r="P93" s="232"/>
      <c r="Q93" s="819"/>
      <c r="R93" s="231"/>
      <c r="S93" s="232"/>
      <c r="T93" s="116"/>
      <c r="U93" s="116"/>
      <c r="V93" s="116"/>
      <c r="W93" s="116"/>
      <c r="X93" s="116"/>
      <c r="Y93" s="116"/>
    </row>
    <row r="94" spans="1:25" ht="16.5" thickBot="1">
      <c r="A94" s="116"/>
      <c r="B94" s="831">
        <v>244</v>
      </c>
      <c r="C94" s="818">
        <v>1</v>
      </c>
      <c r="D94" s="821" t="s">
        <v>550</v>
      </c>
      <c r="E94" s="827" t="str">
        <f>E164</f>
        <v>Se agregó al 204</v>
      </c>
      <c r="F94" s="835">
        <f>SUM(E91,E92,E95)</f>
        <v>220072.65515712532</v>
      </c>
      <c r="G94" s="232"/>
      <c r="H94" s="827" t="str">
        <f t="shared" si="21"/>
        <v>Se agregó al 204</v>
      </c>
      <c r="I94" s="835">
        <f>SUM(H91,H92:H95)</f>
        <v>182625.75377500011</v>
      </c>
      <c r="J94" s="232"/>
      <c r="K94" s="827">
        <f t="shared" si="22"/>
        <v>0</v>
      </c>
      <c r="L94" s="835">
        <f>SUM(K91:K95)</f>
        <v>131443.96500000003</v>
      </c>
      <c r="M94" s="232"/>
      <c r="N94" s="819"/>
      <c r="O94" s="231"/>
      <c r="P94" s="232"/>
      <c r="Q94" s="819"/>
      <c r="R94" s="231"/>
      <c r="S94" s="232"/>
      <c r="T94" s="116"/>
      <c r="U94" s="116"/>
      <c r="V94" s="116"/>
      <c r="W94" s="116"/>
      <c r="X94" s="116"/>
      <c r="Y94" s="116"/>
    </row>
    <row r="95" spans="1:25" ht="16.5" thickBot="1">
      <c r="A95" s="116"/>
      <c r="B95" s="832">
        <v>284</v>
      </c>
      <c r="C95" s="265">
        <v>1</v>
      </c>
      <c r="D95" s="825" t="s">
        <v>551</v>
      </c>
      <c r="E95" s="266">
        <f>E165</f>
        <v>70854.655157125322</v>
      </c>
      <c r="F95" s="904">
        <f>F94/F105</f>
        <v>0.24162433798356983</v>
      </c>
      <c r="G95" s="232"/>
      <c r="H95" s="266">
        <f>H165</f>
        <v>33407.753775000107</v>
      </c>
      <c r="I95" s="904">
        <f>I94/I105</f>
        <v>0.21485382797058836</v>
      </c>
      <c r="J95" s="232"/>
      <c r="K95" s="266">
        <f>K165</f>
        <v>67237.895000000019</v>
      </c>
      <c r="L95" s="834">
        <f>L94/L105</f>
        <v>0.16933200000000004</v>
      </c>
      <c r="M95" s="232"/>
      <c r="N95" s="266">
        <f>N165</f>
        <v>62793</v>
      </c>
      <c r="O95" s="234"/>
      <c r="P95" s="232"/>
      <c r="Q95" s="267"/>
      <c r="R95" s="234"/>
      <c r="S95" s="232"/>
      <c r="T95" s="116"/>
      <c r="U95" s="116"/>
      <c r="V95" s="116"/>
      <c r="W95" s="116"/>
      <c r="X95" s="116"/>
      <c r="Y95" s="116"/>
    </row>
    <row r="96" spans="1:25" ht="15.75">
      <c r="A96" s="116"/>
      <c r="B96" s="238"/>
      <c r="C96" s="231"/>
      <c r="D96" s="268" t="s">
        <v>490</v>
      </c>
      <c r="E96" s="805">
        <f>E166</f>
        <v>1105626.9434172211</v>
      </c>
      <c r="F96" s="268"/>
      <c r="G96" s="269"/>
      <c r="H96" s="805">
        <f>H166</f>
        <v>1038233.7617557691</v>
      </c>
      <c r="I96" s="268"/>
      <c r="J96" s="269"/>
      <c r="K96" s="805">
        <f>K166</f>
        <v>958118.36884615384</v>
      </c>
      <c r="L96" s="268"/>
      <c r="M96" s="269"/>
      <c r="N96" s="268">
        <f>N166</f>
        <v>925718.23076923075</v>
      </c>
      <c r="O96" s="268"/>
      <c r="P96" s="269"/>
      <c r="Q96" s="268">
        <f>Q166</f>
        <v>862925.23076923075</v>
      </c>
      <c r="R96" s="268"/>
      <c r="S96" s="269"/>
      <c r="T96" s="116"/>
      <c r="U96" s="116"/>
      <c r="V96" s="116"/>
      <c r="W96" s="116"/>
      <c r="X96" s="116"/>
      <c r="Y96" s="116"/>
    </row>
    <row r="97" spans="1:25" ht="15.75">
      <c r="A97" s="116"/>
      <c r="B97" s="233">
        <v>440</v>
      </c>
      <c r="C97" s="234"/>
      <c r="D97" s="258" t="s">
        <v>491</v>
      </c>
      <c r="E97" s="653">
        <v>0</v>
      </c>
      <c r="F97" s="234">
        <f t="shared" ref="F97:F103" si="23">F167</f>
        <v>0</v>
      </c>
      <c r="G97" s="232"/>
      <c r="H97" s="653">
        <v>0</v>
      </c>
      <c r="I97" s="234">
        <f t="shared" ref="I97:I103" si="24">I167</f>
        <v>0</v>
      </c>
      <c r="J97" s="232"/>
      <c r="K97" s="653">
        <v>0</v>
      </c>
      <c r="L97" s="234">
        <f t="shared" ref="L97:L103" si="25">L167</f>
        <v>0</v>
      </c>
      <c r="M97" s="232"/>
      <c r="N97" s="270">
        <v>0</v>
      </c>
      <c r="O97" s="234">
        <f t="shared" ref="O97:O103" si="26">O167</f>
        <v>0</v>
      </c>
      <c r="P97" s="232"/>
      <c r="Q97" s="270">
        <v>0</v>
      </c>
      <c r="R97" s="234">
        <f t="shared" ref="R97:R103" si="27">R167</f>
        <v>0</v>
      </c>
      <c r="S97" s="232"/>
      <c r="T97" s="116"/>
      <c r="U97" s="116"/>
      <c r="V97" s="116"/>
      <c r="W97" s="116"/>
      <c r="X97" s="116"/>
      <c r="Y97" s="116"/>
    </row>
    <row r="98" spans="1:25" ht="15.75">
      <c r="A98" s="116"/>
      <c r="B98" s="238">
        <v>502</v>
      </c>
      <c r="C98" s="271" t="s">
        <v>492</v>
      </c>
      <c r="D98" s="231" t="s">
        <v>493</v>
      </c>
      <c r="E98" s="640"/>
      <c r="F98" s="231">
        <f t="shared" si="23"/>
        <v>-168255.31476941818</v>
      </c>
      <c r="G98" s="232"/>
      <c r="H98" s="640"/>
      <c r="I98" s="231">
        <f t="shared" si="24"/>
        <v>-162565.52151634614</v>
      </c>
      <c r="J98" s="232"/>
      <c r="K98" s="640"/>
      <c r="L98" s="231">
        <f t="shared" si="25"/>
        <v>-157068.13673076921</v>
      </c>
      <c r="M98" s="232"/>
      <c r="N98" s="231"/>
      <c r="O98" s="231">
        <f t="shared" si="26"/>
        <v>-151756.65384615384</v>
      </c>
      <c r="P98" s="232"/>
      <c r="Q98" s="231"/>
      <c r="R98" s="231">
        <f t="shared" si="27"/>
        <v>-151756.65384615384</v>
      </c>
      <c r="S98" s="232"/>
      <c r="T98" s="116"/>
      <c r="U98" s="116"/>
      <c r="V98" s="116"/>
      <c r="W98" s="116"/>
      <c r="X98" s="116"/>
      <c r="Y98" s="116"/>
    </row>
    <row r="99" spans="1:25" ht="15.75">
      <c r="A99" s="116"/>
      <c r="B99" s="238">
        <v>505</v>
      </c>
      <c r="C99" s="272">
        <v>0.03</v>
      </c>
      <c r="D99" s="231" t="s">
        <v>494</v>
      </c>
      <c r="E99" s="640"/>
      <c r="F99" s="231">
        <f t="shared" si="23"/>
        <v>-26566.628647802874</v>
      </c>
      <c r="G99" s="232"/>
      <c r="H99" s="640"/>
      <c r="I99" s="231">
        <f t="shared" si="24"/>
        <v>-25668.24023942307</v>
      </c>
      <c r="J99" s="232"/>
      <c r="K99" s="640"/>
      <c r="L99" s="231">
        <f t="shared" si="25"/>
        <v>-24800.232115384613</v>
      </c>
      <c r="M99" s="232"/>
      <c r="N99" s="231"/>
      <c r="O99" s="231">
        <f t="shared" si="26"/>
        <v>-23961.576923076922</v>
      </c>
      <c r="P99" s="232"/>
      <c r="Q99" s="231"/>
      <c r="R99" s="231">
        <f t="shared" si="27"/>
        <v>-23961.576923076922</v>
      </c>
      <c r="S99" s="232"/>
      <c r="T99" s="116"/>
      <c r="U99" s="116"/>
      <c r="V99" s="116"/>
      <c r="W99" s="116"/>
      <c r="X99" s="116"/>
      <c r="Y99" s="116"/>
    </row>
    <row r="100" spans="1:25" ht="15.75">
      <c r="A100" s="116"/>
      <c r="B100" s="233">
        <v>510</v>
      </c>
      <c r="C100" s="234"/>
      <c r="D100" s="234" t="s">
        <v>495</v>
      </c>
      <c r="E100" s="653">
        <v>0</v>
      </c>
      <c r="F100" s="234">
        <f t="shared" si="23"/>
        <v>0</v>
      </c>
      <c r="G100" s="232"/>
      <c r="H100" s="653">
        <v>0</v>
      </c>
      <c r="I100" s="234">
        <f t="shared" si="24"/>
        <v>0</v>
      </c>
      <c r="J100" s="232"/>
      <c r="K100" s="653">
        <v>0</v>
      </c>
      <c r="L100" s="234">
        <f t="shared" si="25"/>
        <v>0</v>
      </c>
      <c r="M100" s="232"/>
      <c r="N100" s="270">
        <v>0</v>
      </c>
      <c r="O100" s="234">
        <f t="shared" si="26"/>
        <v>0</v>
      </c>
      <c r="P100" s="232"/>
      <c r="Q100" s="270">
        <v>0</v>
      </c>
      <c r="R100" s="234">
        <f t="shared" si="27"/>
        <v>0</v>
      </c>
      <c r="S100" s="232"/>
      <c r="T100" s="116"/>
      <c r="U100" s="116"/>
      <c r="V100" s="116"/>
      <c r="W100" s="116"/>
      <c r="X100" s="116"/>
      <c r="Y100" s="116"/>
    </row>
    <row r="101" spans="1:25" ht="15.75">
      <c r="A101" s="116"/>
      <c r="B101" s="238">
        <v>332</v>
      </c>
      <c r="C101" s="273">
        <v>0</v>
      </c>
      <c r="D101" s="231" t="s">
        <v>496</v>
      </c>
      <c r="E101" s="640">
        <f>E171</f>
        <v>0</v>
      </c>
      <c r="F101" s="231">
        <f t="shared" si="23"/>
        <v>0</v>
      </c>
      <c r="G101" s="232"/>
      <c r="H101" s="640">
        <f>H171</f>
        <v>0</v>
      </c>
      <c r="I101" s="231">
        <f t="shared" si="24"/>
        <v>0</v>
      </c>
      <c r="J101" s="232"/>
      <c r="K101" s="640">
        <f>K171</f>
        <v>0</v>
      </c>
      <c r="L101" s="231">
        <f t="shared" si="25"/>
        <v>0</v>
      </c>
      <c r="M101" s="232"/>
      <c r="N101" s="231"/>
      <c r="O101" s="231">
        <f t="shared" si="26"/>
        <v>0</v>
      </c>
      <c r="P101" s="232"/>
      <c r="Q101" s="231"/>
      <c r="R101" s="231">
        <f t="shared" si="27"/>
        <v>0</v>
      </c>
      <c r="S101" s="232"/>
      <c r="T101" s="116"/>
      <c r="U101" s="116"/>
      <c r="V101" s="116"/>
      <c r="W101" s="116"/>
      <c r="X101" s="116"/>
      <c r="Y101" s="116"/>
    </row>
    <row r="102" spans="1:25" ht="15.75">
      <c r="A102" s="116"/>
      <c r="B102" s="274"/>
      <c r="C102" s="273"/>
      <c r="D102" s="234" t="s">
        <v>497</v>
      </c>
      <c r="E102" s="653">
        <v>0</v>
      </c>
      <c r="F102" s="234">
        <f t="shared" si="23"/>
        <v>0</v>
      </c>
      <c r="G102" s="232"/>
      <c r="H102" s="653">
        <v>0</v>
      </c>
      <c r="I102" s="234">
        <f t="shared" si="24"/>
        <v>0</v>
      </c>
      <c r="J102" s="232"/>
      <c r="K102" s="653">
        <v>0</v>
      </c>
      <c r="L102" s="234">
        <f t="shared" si="25"/>
        <v>0</v>
      </c>
      <c r="M102" s="232"/>
      <c r="N102" s="270">
        <v>0</v>
      </c>
      <c r="O102" s="234">
        <f t="shared" si="26"/>
        <v>0</v>
      </c>
      <c r="P102" s="232"/>
      <c r="Q102" s="270">
        <v>0</v>
      </c>
      <c r="R102" s="234">
        <f t="shared" si="27"/>
        <v>0</v>
      </c>
      <c r="S102" s="232"/>
      <c r="T102" s="116"/>
      <c r="U102" s="116"/>
      <c r="V102" s="116"/>
      <c r="W102" s="116"/>
      <c r="X102" s="116"/>
      <c r="Y102" s="116"/>
    </row>
    <row r="103" spans="1:25" ht="15.75">
      <c r="A103" s="116"/>
      <c r="B103" s="275"/>
      <c r="C103" s="276"/>
      <c r="D103" s="277" t="s">
        <v>498</v>
      </c>
      <c r="E103" s="278"/>
      <c r="F103" s="278">
        <f t="shared" si="23"/>
        <v>-194821.94341722105</v>
      </c>
      <c r="G103" s="279"/>
      <c r="H103" s="278"/>
      <c r="I103" s="278">
        <f t="shared" si="24"/>
        <v>-188233.7617557692</v>
      </c>
      <c r="J103" s="279"/>
      <c r="K103" s="278"/>
      <c r="L103" s="278">
        <f t="shared" si="25"/>
        <v>-181868.36884615384</v>
      </c>
      <c r="M103" s="279"/>
      <c r="N103" s="277"/>
      <c r="O103" s="278">
        <f t="shared" si="26"/>
        <v>-175718.23076923075</v>
      </c>
      <c r="P103" s="279"/>
      <c r="Q103" s="277"/>
      <c r="R103" s="278">
        <f t="shared" si="27"/>
        <v>-175718.23076923075</v>
      </c>
      <c r="S103" s="279"/>
      <c r="T103" s="116"/>
      <c r="U103" s="116"/>
      <c r="V103" s="116"/>
      <c r="W103" s="116"/>
      <c r="X103" s="116"/>
      <c r="Y103" s="116"/>
    </row>
    <row r="104" spans="1:25" ht="15.75">
      <c r="A104" s="116"/>
      <c r="B104" s="280"/>
      <c r="C104" s="31"/>
      <c r="D104" s="31"/>
      <c r="E104" s="712"/>
      <c r="F104" s="31"/>
      <c r="G104" s="281"/>
      <c r="H104" s="712"/>
      <c r="I104" s="31"/>
      <c r="J104" s="281"/>
      <c r="K104" s="712"/>
      <c r="L104" s="31"/>
      <c r="M104" s="281"/>
      <c r="N104" s="31"/>
      <c r="O104" s="31"/>
      <c r="P104" s="281"/>
      <c r="Q104" s="31"/>
      <c r="R104" s="31"/>
      <c r="S104" s="281"/>
      <c r="T104" s="116"/>
      <c r="U104" s="116"/>
      <c r="V104" s="116"/>
      <c r="W104" s="116"/>
      <c r="X104" s="116"/>
      <c r="Y104" s="116"/>
    </row>
    <row r="105" spans="1:25" ht="19.5">
      <c r="A105" s="282"/>
      <c r="B105" s="282"/>
      <c r="C105" s="282"/>
      <c r="D105" s="283"/>
      <c r="E105" s="284" t="str">
        <f t="shared" ref="E105:F105" si="28">E175</f>
        <v>Sueldo líquido</v>
      </c>
      <c r="F105" s="285">
        <f t="shared" si="28"/>
        <v>910805</v>
      </c>
      <c r="G105" s="282"/>
      <c r="H105" s="284" t="str">
        <f t="shared" ref="H105:I105" si="29">H175</f>
        <v>Sueldo líquido</v>
      </c>
      <c r="I105" s="285">
        <f t="shared" si="29"/>
        <v>850000</v>
      </c>
      <c r="J105" s="282"/>
      <c r="K105" s="284" t="str">
        <f t="shared" ref="K105:L105" si="30">K175</f>
        <v>Sueldo líquido</v>
      </c>
      <c r="L105" s="285">
        <f t="shared" si="30"/>
        <v>776250</v>
      </c>
      <c r="M105" s="282"/>
      <c r="N105" s="284" t="str">
        <f t="shared" ref="N105:O105" si="31">N175</f>
        <v>Sueldo líquido</v>
      </c>
      <c r="O105" s="285">
        <f t="shared" si="31"/>
        <v>750000</v>
      </c>
      <c r="P105" s="282"/>
      <c r="Q105" s="284" t="str">
        <f t="shared" ref="Q105:R105" si="32">Q175</f>
        <v>Sueldo líquido</v>
      </c>
      <c r="R105" s="285">
        <f t="shared" si="32"/>
        <v>687207</v>
      </c>
      <c r="S105" s="282"/>
      <c r="T105" s="282"/>
      <c r="U105" s="282"/>
      <c r="V105" s="282"/>
      <c r="W105" s="282"/>
      <c r="X105" s="282"/>
      <c r="Y105" s="282"/>
    </row>
    <row r="106" spans="1:25" ht="15.75">
      <c r="A106" s="116"/>
      <c r="B106" s="31"/>
      <c r="C106" s="31"/>
      <c r="D106" s="184"/>
      <c r="E106" s="286"/>
      <c r="F106" s="287"/>
      <c r="G106" s="281"/>
      <c r="H106" s="286"/>
      <c r="I106" s="287"/>
      <c r="J106" s="281"/>
      <c r="K106" s="286"/>
      <c r="L106" s="287"/>
      <c r="M106" s="281"/>
      <c r="N106" s="286"/>
      <c r="O106" s="287"/>
      <c r="P106" s="281"/>
      <c r="Q106" s="286"/>
      <c r="R106" s="287"/>
      <c r="S106" s="281"/>
      <c r="T106" s="116"/>
      <c r="U106" s="116"/>
      <c r="V106" s="116"/>
      <c r="W106" s="116"/>
      <c r="X106" s="116"/>
      <c r="Y106" s="116"/>
    </row>
    <row r="107" spans="1:25" ht="15.75">
      <c r="A107" s="116"/>
      <c r="B107" s="31"/>
      <c r="C107" s="31"/>
      <c r="D107" s="184"/>
      <c r="E107" s="288"/>
      <c r="F107" s="288"/>
      <c r="G107" s="281"/>
      <c r="H107" s="288"/>
      <c r="I107" s="288"/>
      <c r="J107" s="281"/>
      <c r="K107" s="288"/>
      <c r="L107" s="288"/>
      <c r="M107" s="281"/>
      <c r="N107" s="288"/>
      <c r="O107" s="288"/>
      <c r="P107" s="281"/>
      <c r="Q107" s="288"/>
      <c r="R107" s="288"/>
      <c r="S107" s="281"/>
      <c r="T107" s="116"/>
      <c r="U107" s="116"/>
      <c r="V107" s="116"/>
      <c r="W107" s="116"/>
      <c r="X107" s="116"/>
      <c r="Y107" s="116"/>
    </row>
    <row r="108" spans="1:25" ht="15.75">
      <c r="A108" s="116"/>
      <c r="B108" s="31"/>
      <c r="C108" s="37"/>
      <c r="D108" s="80"/>
      <c r="E108" s="288" t="str">
        <f>E178</f>
        <v>Total remunerativos</v>
      </c>
      <c r="F108" s="288"/>
      <c r="G108" s="281"/>
      <c r="H108" s="288" t="str">
        <f>H178</f>
        <v>Total remunerativos</v>
      </c>
      <c r="I108" s="288"/>
      <c r="J108" s="281"/>
      <c r="K108" s="288" t="str">
        <f>K178</f>
        <v>Total remunerativos</v>
      </c>
      <c r="L108" s="288"/>
      <c r="M108" s="281"/>
      <c r="N108" s="288" t="str">
        <f>N178</f>
        <v>Total remunerativos</v>
      </c>
      <c r="O108" s="288"/>
      <c r="P108" s="281"/>
      <c r="Q108" s="288" t="str">
        <f>Q178</f>
        <v>Total remunerativos</v>
      </c>
      <c r="R108" s="288"/>
      <c r="S108" s="281"/>
      <c r="T108" s="116"/>
      <c r="U108" s="116"/>
      <c r="V108" s="116"/>
      <c r="W108" s="116"/>
      <c r="X108" s="116"/>
      <c r="Y108" s="116"/>
    </row>
    <row r="109" spans="1:25" ht="18">
      <c r="A109" s="116"/>
      <c r="B109" s="31"/>
      <c r="C109" s="31"/>
      <c r="D109" s="289"/>
      <c r="E109" s="288">
        <f t="shared" ref="E109:F109" si="33">E179</f>
        <v>701931.98227132123</v>
      </c>
      <c r="F109" s="288">
        <f t="shared" si="33"/>
        <v>0</v>
      </c>
      <c r="G109" s="281"/>
      <c r="H109" s="288">
        <f t="shared" ref="H109:I109" si="34">H179</f>
        <v>678195.15195296751</v>
      </c>
      <c r="I109" s="288">
        <f t="shared" si="34"/>
        <v>0</v>
      </c>
      <c r="J109" s="281"/>
      <c r="K109" s="288">
        <f t="shared" ref="K109:L112" si="35">K179</f>
        <v>658441.89509996853</v>
      </c>
      <c r="L109" s="288">
        <f t="shared" si="35"/>
        <v>0</v>
      </c>
      <c r="M109" s="281"/>
      <c r="N109" s="288">
        <f t="shared" ref="N109:O112" si="36">N179</f>
        <v>636175.66865979542</v>
      </c>
      <c r="O109" s="288">
        <f t="shared" si="36"/>
        <v>0</v>
      </c>
      <c r="P109" s="281"/>
      <c r="Q109" s="288">
        <f t="shared" ref="Q109:R112" si="37">Q179</f>
        <v>636175.66865979542</v>
      </c>
      <c r="R109" s="288">
        <f t="shared" si="37"/>
        <v>0</v>
      </c>
      <c r="S109" s="281"/>
      <c r="T109" s="116"/>
      <c r="U109" s="116"/>
      <c r="V109" s="116"/>
      <c r="W109" s="116"/>
      <c r="X109" s="116"/>
      <c r="Y109" s="116"/>
    </row>
    <row r="110" spans="1:25" ht="16.5" thickBot="1">
      <c r="A110" s="116"/>
      <c r="B110" s="31"/>
      <c r="C110" s="31"/>
      <c r="D110" s="31"/>
      <c r="E110" s="280">
        <f t="shared" ref="E110:F110" si="38">E180</f>
        <v>0</v>
      </c>
      <c r="F110" s="280">
        <f t="shared" si="38"/>
        <v>0</v>
      </c>
      <c r="G110" s="281"/>
      <c r="H110" s="280">
        <f t="shared" ref="H110:I110" si="39">H180</f>
        <v>0</v>
      </c>
      <c r="I110" s="280">
        <f t="shared" si="39"/>
        <v>0</v>
      </c>
      <c r="J110" s="281"/>
      <c r="K110" s="280">
        <f t="shared" si="35"/>
        <v>0</v>
      </c>
      <c r="L110" s="280">
        <f t="shared" si="35"/>
        <v>0</v>
      </c>
      <c r="M110" s="281"/>
      <c r="N110" s="280">
        <f t="shared" si="36"/>
        <v>0</v>
      </c>
      <c r="O110" s="280">
        <f t="shared" si="36"/>
        <v>0</v>
      </c>
      <c r="P110" s="281"/>
      <c r="Q110" s="280">
        <f t="shared" si="37"/>
        <v>0</v>
      </c>
      <c r="R110" s="280">
        <f t="shared" si="37"/>
        <v>0</v>
      </c>
      <c r="S110" s="281"/>
      <c r="T110" s="116"/>
      <c r="U110" s="116"/>
      <c r="V110" s="116"/>
      <c r="W110" s="116"/>
      <c r="X110" s="116"/>
      <c r="Y110" s="116"/>
    </row>
    <row r="111" spans="1:25" ht="18">
      <c r="A111" s="116"/>
      <c r="B111" s="31"/>
      <c r="C111" s="31"/>
      <c r="D111" s="31"/>
      <c r="E111" s="290" t="str">
        <f t="shared" ref="E111:F111" si="40">E181</f>
        <v>Aumento del mes</v>
      </c>
      <c r="F111" s="291">
        <f t="shared" si="40"/>
        <v>60805</v>
      </c>
      <c r="G111" s="281"/>
      <c r="H111" s="290" t="str">
        <f t="shared" ref="H111:I111" si="41">H181</f>
        <v>Aumento del mes</v>
      </c>
      <c r="I111" s="291">
        <f t="shared" si="41"/>
        <v>73750</v>
      </c>
      <c r="J111" s="281"/>
      <c r="K111" s="290" t="str">
        <f t="shared" si="35"/>
        <v>Aumento del mes</v>
      </c>
      <c r="L111" s="291">
        <f t="shared" si="35"/>
        <v>26250</v>
      </c>
      <c r="M111" s="281"/>
      <c r="N111" s="290" t="str">
        <f t="shared" si="36"/>
        <v>Aumento del mes</v>
      </c>
      <c r="O111" s="291">
        <f t="shared" si="36"/>
        <v>62793</v>
      </c>
      <c r="P111" s="281"/>
      <c r="Q111" s="290" t="str">
        <f t="shared" si="37"/>
        <v>Aumento del mes</v>
      </c>
      <c r="R111" s="291">
        <f t="shared" si="37"/>
        <v>0</v>
      </c>
      <c r="S111" s="281"/>
      <c r="T111" s="116"/>
      <c r="U111" s="116"/>
      <c r="V111" s="116"/>
      <c r="W111" s="116"/>
      <c r="X111" s="116"/>
      <c r="Y111" s="116"/>
    </row>
    <row r="112" spans="1:25" ht="18.75" thickBot="1">
      <c r="A112" s="116"/>
      <c r="B112" s="31"/>
      <c r="C112" s="31"/>
      <c r="D112" s="31"/>
      <c r="E112" s="292" t="str">
        <f t="shared" ref="E112:F112" si="42">E182</f>
        <v>Porc resp a anterior</v>
      </c>
      <c r="F112" s="293">
        <f t="shared" si="42"/>
        <v>7.1535294117647058E-2</v>
      </c>
      <c r="G112" s="281"/>
      <c r="H112" s="292" t="str">
        <f t="shared" ref="H112:I112" si="43">H182</f>
        <v>Porc resp a anterior</v>
      </c>
      <c r="I112" s="293">
        <f t="shared" si="43"/>
        <v>9.5008051529790666E-2</v>
      </c>
      <c r="J112" s="281"/>
      <c r="K112" s="292" t="str">
        <f t="shared" si="35"/>
        <v>Porc resp a anterior</v>
      </c>
      <c r="L112" s="293">
        <f t="shared" si="35"/>
        <v>3.5000000000000003E-2</v>
      </c>
      <c r="M112" s="281"/>
      <c r="N112" s="292" t="str">
        <f t="shared" si="36"/>
        <v>Porc resp a anterior</v>
      </c>
      <c r="O112" s="293">
        <f t="shared" si="36"/>
        <v>9.1374214756252486E-2</v>
      </c>
      <c r="P112" s="281"/>
      <c r="Q112" s="292" t="str">
        <f t="shared" si="37"/>
        <v>Porc resp a anterior</v>
      </c>
      <c r="R112" s="293">
        <f t="shared" si="37"/>
        <v>0</v>
      </c>
      <c r="S112" s="281"/>
      <c r="T112" s="116"/>
      <c r="U112" s="116"/>
      <c r="V112" s="116"/>
      <c r="W112" s="116"/>
      <c r="X112" s="116"/>
      <c r="Y112" s="116"/>
    </row>
    <row r="113" spans="1:25" ht="16.5" thickBot="1">
      <c r="A113" s="116"/>
      <c r="B113" s="31"/>
      <c r="C113" s="31"/>
      <c r="D113" s="31"/>
      <c r="E113" s="294"/>
      <c r="F113" s="295"/>
      <c r="G113" s="281"/>
      <c r="H113" s="294"/>
      <c r="I113" s="295"/>
      <c r="J113" s="281"/>
      <c r="K113" s="294"/>
      <c r="L113" s="295"/>
      <c r="M113" s="281"/>
      <c r="N113" s="294"/>
      <c r="O113" s="295"/>
      <c r="P113" s="281"/>
      <c r="Q113" s="294"/>
      <c r="R113" s="295"/>
      <c r="S113" s="281"/>
      <c r="T113" s="116"/>
      <c r="U113" s="116"/>
      <c r="V113" s="116"/>
      <c r="W113" s="116"/>
      <c r="X113" s="116"/>
      <c r="Y113" s="116"/>
    </row>
    <row r="114" spans="1:25" ht="18.75" thickBot="1">
      <c r="A114" s="116"/>
      <c r="B114" s="31"/>
      <c r="C114" s="31"/>
      <c r="D114" s="31"/>
      <c r="E114" s="296" t="str">
        <f t="shared" ref="E114:F114" si="44">E184</f>
        <v>Aumento Remunerativo</v>
      </c>
      <c r="F114" s="297">
        <f t="shared" si="44"/>
        <v>23358.098617874784</v>
      </c>
      <c r="G114" s="281"/>
      <c r="H114" s="296" t="str">
        <f t="shared" ref="H114:I114" si="45">H184</f>
        <v>Aumento Remunerativo</v>
      </c>
      <c r="I114" s="297">
        <f t="shared" si="45"/>
        <v>22568.211224999977</v>
      </c>
      <c r="J114" s="281"/>
      <c r="K114" s="296" t="str">
        <f t="shared" ref="K114:L115" si="46">K184</f>
        <v>Aumento Remunerativo</v>
      </c>
      <c r="L114" s="297">
        <f t="shared" si="46"/>
        <v>21805.034999999916</v>
      </c>
      <c r="M114" s="281"/>
      <c r="N114" s="296" t="str">
        <f t="shared" ref="N114:O115" si="47">N184</f>
        <v>Aumento Remunerativo</v>
      </c>
      <c r="O114" s="297">
        <f t="shared" si="47"/>
        <v>0</v>
      </c>
      <c r="P114" s="281"/>
      <c r="Q114" s="296" t="str">
        <f t="shared" ref="Q114:R115" si="48">Q184</f>
        <v>Aumento Remunerativo</v>
      </c>
      <c r="R114" s="297">
        <f t="shared" si="48"/>
        <v>0</v>
      </c>
      <c r="S114" s="281"/>
      <c r="T114" s="116"/>
      <c r="U114" s="116"/>
      <c r="V114" s="116"/>
      <c r="W114" s="116"/>
      <c r="X114" s="116"/>
      <c r="Y114" s="116"/>
    </row>
    <row r="115" spans="1:25" ht="16.5" thickBot="1">
      <c r="A115" s="116"/>
      <c r="B115" s="31"/>
      <c r="C115" s="31"/>
      <c r="D115" s="31"/>
      <c r="E115" s="296" t="str">
        <f t="shared" ref="E115:F115" si="49">E185</f>
        <v>Rem Porcentual</v>
      </c>
      <c r="F115" s="298">
        <f t="shared" si="49"/>
        <v>3.4999999999999684E-2</v>
      </c>
      <c r="G115" s="281"/>
      <c r="H115" s="296" t="str">
        <f t="shared" ref="H115:I115" si="50">H185</f>
        <v>Rem Porcentual</v>
      </c>
      <c r="I115" s="298">
        <f t="shared" si="50"/>
        <v>3.4999999999999969E-2</v>
      </c>
      <c r="J115" s="281"/>
      <c r="K115" s="296" t="str">
        <f t="shared" si="46"/>
        <v>Rem Porcentual</v>
      </c>
      <c r="L115" s="298">
        <f t="shared" si="46"/>
        <v>3.4999999999999865E-2</v>
      </c>
      <c r="M115" s="281"/>
      <c r="N115" s="296" t="str">
        <f t="shared" si="47"/>
        <v>Rem Porcentual</v>
      </c>
      <c r="O115" s="298">
        <f t="shared" si="47"/>
        <v>0</v>
      </c>
      <c r="P115" s="281"/>
      <c r="Q115" s="296" t="str">
        <f t="shared" si="48"/>
        <v>Rem Porcentual</v>
      </c>
      <c r="R115" s="298">
        <f t="shared" si="48"/>
        <v>0</v>
      </c>
      <c r="S115" s="281"/>
      <c r="T115" s="116"/>
      <c r="U115" s="116"/>
      <c r="V115" s="116"/>
      <c r="W115" s="116"/>
      <c r="X115" s="116"/>
      <c r="Y115" s="116"/>
    </row>
    <row r="116" spans="1:25" ht="16.5" thickBot="1">
      <c r="A116" s="116"/>
      <c r="B116" s="31"/>
      <c r="C116" s="31"/>
      <c r="D116" s="31"/>
      <c r="E116" s="294"/>
      <c r="F116" s="299"/>
      <c r="G116" s="281"/>
      <c r="H116" s="294"/>
      <c r="I116" s="299"/>
      <c r="J116" s="281"/>
      <c r="K116" s="294"/>
      <c r="L116" s="299"/>
      <c r="M116" s="281"/>
      <c r="N116" s="294"/>
      <c r="O116" s="299"/>
      <c r="P116" s="281"/>
      <c r="Q116" s="294"/>
      <c r="R116" s="299"/>
      <c r="S116" s="281"/>
      <c r="T116" s="116"/>
      <c r="U116" s="116"/>
      <c r="V116" s="116"/>
      <c r="W116" s="116"/>
      <c r="X116" s="116"/>
      <c r="Y116" s="116"/>
    </row>
    <row r="117" spans="1:25" ht="15.75">
      <c r="A117" s="116"/>
      <c r="B117" s="31"/>
      <c r="C117" s="31"/>
      <c r="D117" s="31"/>
      <c r="E117" s="300" t="str">
        <f t="shared" ref="E117:F117" si="51">E187</f>
        <v>Aumento acumulado</v>
      </c>
      <c r="F117" s="301">
        <f t="shared" si="51"/>
        <v>223598</v>
      </c>
      <c r="G117" s="281"/>
      <c r="H117" s="300" t="str">
        <f t="shared" ref="H117:I117" si="52">H187</f>
        <v>Aumento acumulado</v>
      </c>
      <c r="I117" s="301">
        <f t="shared" si="52"/>
        <v>162793</v>
      </c>
      <c r="J117" s="281"/>
      <c r="K117" s="300" t="str">
        <f t="shared" ref="K117:L118" si="53">K187</f>
        <v>Aumento acumulado</v>
      </c>
      <c r="L117" s="301">
        <f t="shared" si="53"/>
        <v>89043</v>
      </c>
      <c r="M117" s="281"/>
      <c r="N117" s="300" t="str">
        <f t="shared" ref="N117:O118" si="54">N187</f>
        <v>Aumento acumulado</v>
      </c>
      <c r="O117" s="301">
        <f t="shared" si="54"/>
        <v>62793</v>
      </c>
      <c r="P117" s="281"/>
      <c r="Q117" s="300" t="str">
        <f t="shared" ref="Q117:R118" si="55">Q187</f>
        <v>Aumento acumulado</v>
      </c>
      <c r="R117" s="301">
        <f t="shared" si="55"/>
        <v>0</v>
      </c>
      <c r="S117" s="281"/>
      <c r="T117" s="116"/>
      <c r="U117" s="116"/>
      <c r="V117" s="116"/>
      <c r="W117" s="116"/>
      <c r="X117" s="116"/>
      <c r="Y117" s="116"/>
    </row>
    <row r="118" spans="1:25" ht="16.5" thickBot="1">
      <c r="A118" s="116"/>
      <c r="B118" s="31"/>
      <c r="C118" s="31"/>
      <c r="D118" s="31"/>
      <c r="E118" s="302" t="str">
        <f t="shared" ref="E118:F118" si="56">E188</f>
        <v>Porcentaje acumulado</v>
      </c>
      <c r="F118" s="303">
        <f t="shared" si="56"/>
        <v>0.32537212222809136</v>
      </c>
      <c r="G118" s="281"/>
      <c r="H118" s="302" t="str">
        <f t="shared" ref="H118:I118" si="57">H188</f>
        <v>Porcentaje acumulado</v>
      </c>
      <c r="I118" s="303">
        <f t="shared" si="57"/>
        <v>0.23689077672375281</v>
      </c>
      <c r="J118" s="281"/>
      <c r="K118" s="302" t="str">
        <f t="shared" si="53"/>
        <v>Porcentaje acumulado</v>
      </c>
      <c r="L118" s="303">
        <f t="shared" si="53"/>
        <v>0.12957231227272131</v>
      </c>
      <c r="M118" s="281"/>
      <c r="N118" s="302" t="str">
        <f t="shared" si="54"/>
        <v>Porcentaje acumulado</v>
      </c>
      <c r="O118" s="303">
        <f t="shared" si="54"/>
        <v>9.1374214756252486E-2</v>
      </c>
      <c r="P118" s="281"/>
      <c r="Q118" s="302" t="str">
        <f t="shared" si="55"/>
        <v>Porcentaje acumulado</v>
      </c>
      <c r="R118" s="303">
        <f t="shared" si="55"/>
        <v>0</v>
      </c>
      <c r="S118" s="281"/>
      <c r="T118" s="116"/>
      <c r="U118" s="116"/>
      <c r="V118" s="116"/>
      <c r="W118" s="116"/>
      <c r="X118" s="116"/>
      <c r="Y118" s="116"/>
    </row>
    <row r="119" spans="1:25" ht="16.5" thickBot="1">
      <c r="A119" s="116"/>
      <c r="B119" s="31"/>
      <c r="C119" s="31"/>
      <c r="D119" s="31"/>
      <c r="E119" s="294"/>
      <c r="F119" s="295"/>
      <c r="G119" s="281"/>
      <c r="H119" s="294"/>
      <c r="I119" s="295"/>
      <c r="J119" s="281"/>
      <c r="K119" s="294"/>
      <c r="L119" s="295"/>
      <c r="M119" s="281"/>
      <c r="N119" s="294"/>
      <c r="O119" s="295"/>
      <c r="P119" s="281"/>
      <c r="Q119" s="294"/>
      <c r="R119" s="295"/>
      <c r="S119" s="281"/>
      <c r="T119" s="116"/>
      <c r="U119" s="116"/>
      <c r="V119" s="116"/>
      <c r="W119" s="116"/>
      <c r="X119" s="116"/>
      <c r="Y119" s="116"/>
    </row>
    <row r="120" spans="1:25" ht="15.75">
      <c r="A120" s="116"/>
      <c r="B120" s="31"/>
      <c r="C120" s="31"/>
      <c r="D120" s="31"/>
      <c r="E120" s="304" t="s">
        <v>499</v>
      </c>
      <c r="F120" s="305">
        <f>F190</f>
        <v>67731.344842874678</v>
      </c>
      <c r="G120" s="281"/>
      <c r="H120" s="304" t="s">
        <v>499</v>
      </c>
      <c r="I120" s="305">
        <f>I190</f>
        <v>44373.246224999893</v>
      </c>
      <c r="J120" s="281"/>
      <c r="K120" s="304" t="s">
        <v>499</v>
      </c>
      <c r="L120" s="305">
        <f>L190</f>
        <v>21805.034999999916</v>
      </c>
      <c r="M120" s="281"/>
      <c r="N120" s="304" t="s">
        <v>499</v>
      </c>
      <c r="O120" s="305">
        <f>O190</f>
        <v>0</v>
      </c>
      <c r="P120" s="281"/>
      <c r="Q120" s="304" t="s">
        <v>499</v>
      </c>
      <c r="R120" s="305">
        <f>R190</f>
        <v>0</v>
      </c>
      <c r="S120" s="281"/>
      <c r="T120" s="116"/>
      <c r="U120" s="116"/>
      <c r="V120" s="116"/>
      <c r="W120" s="116"/>
      <c r="X120" s="116"/>
      <c r="Y120" s="116"/>
    </row>
    <row r="121" spans="1:25" ht="16.5" thickBot="1">
      <c r="A121" s="116"/>
      <c r="B121" s="31"/>
      <c r="C121" s="31"/>
      <c r="D121" s="31"/>
      <c r="E121" s="306" t="s">
        <v>500</v>
      </c>
      <c r="F121" s="307">
        <f>F191</f>
        <v>0.10871787499999948</v>
      </c>
      <c r="G121" s="281"/>
      <c r="H121" s="306" t="s">
        <v>500</v>
      </c>
      <c r="I121" s="307">
        <f>I191</f>
        <v>7.122499999999983E-2</v>
      </c>
      <c r="J121" s="281"/>
      <c r="K121" s="306" t="s">
        <v>500</v>
      </c>
      <c r="L121" s="307">
        <f>L191</f>
        <v>3.4999999999999865E-2</v>
      </c>
      <c r="M121" s="281"/>
      <c r="N121" s="306" t="s">
        <v>500</v>
      </c>
      <c r="O121" s="307">
        <f>O191</f>
        <v>0</v>
      </c>
      <c r="P121" s="281"/>
      <c r="Q121" s="306" t="s">
        <v>500</v>
      </c>
      <c r="R121" s="307">
        <f>R191</f>
        <v>0</v>
      </c>
      <c r="S121" s="281"/>
      <c r="T121" s="116"/>
      <c r="U121" s="116"/>
      <c r="V121" s="116"/>
      <c r="W121" s="116"/>
      <c r="X121" s="116"/>
      <c r="Y121" s="116"/>
    </row>
    <row r="122" spans="1:25" ht="16.5" thickBot="1">
      <c r="A122" s="116"/>
      <c r="B122" s="31"/>
      <c r="C122" s="31"/>
      <c r="D122" s="31"/>
      <c r="E122" s="288"/>
      <c r="F122" s="288"/>
      <c r="G122" s="281"/>
      <c r="H122" s="288"/>
      <c r="I122" s="288"/>
      <c r="J122" s="281"/>
      <c r="K122" s="288"/>
      <c r="L122" s="288"/>
      <c r="M122" s="281"/>
      <c r="N122" s="288"/>
      <c r="O122" s="288"/>
      <c r="P122" s="281"/>
      <c r="Q122" s="288"/>
      <c r="R122" s="288"/>
      <c r="S122" s="281"/>
      <c r="T122" s="116"/>
      <c r="U122" s="116"/>
      <c r="V122" s="116"/>
      <c r="W122" s="116"/>
      <c r="X122" s="116"/>
      <c r="Y122" s="116"/>
    </row>
    <row r="123" spans="1:25" ht="16.5" thickTop="1">
      <c r="A123" s="116"/>
      <c r="B123" s="116"/>
      <c r="C123" s="116"/>
      <c r="D123" s="116"/>
      <c r="E123" s="308" t="str">
        <f t="shared" ref="E123:F123" si="58">E193</f>
        <v>Medio Aguinaldo</v>
      </c>
      <c r="F123" s="309">
        <f t="shared" si="58"/>
        <v>0</v>
      </c>
      <c r="G123" s="281"/>
      <c r="H123" s="308" t="str">
        <f t="shared" ref="H123:I123" si="59">H193</f>
        <v>Medio Aguinaldo</v>
      </c>
      <c r="I123" s="309">
        <f t="shared" si="59"/>
        <v>0</v>
      </c>
      <c r="J123" s="281"/>
      <c r="K123" s="308" t="str">
        <f t="shared" ref="K123:L126" si="60">K193</f>
        <v>Medio Aguinaldo</v>
      </c>
      <c r="L123" s="309">
        <f t="shared" si="60"/>
        <v>0</v>
      </c>
      <c r="M123" s="281"/>
      <c r="N123" s="308" t="str">
        <f t="shared" ref="N123:O126" si="61">N193</f>
        <v>Medio Aguinaldo</v>
      </c>
      <c r="O123" s="309">
        <f t="shared" si="61"/>
        <v>0</v>
      </c>
      <c r="P123" s="281"/>
      <c r="Q123" s="308" t="str">
        <f t="shared" ref="Q123:R126" si="62">Q193</f>
        <v>Medio Aguinaldo</v>
      </c>
      <c r="R123" s="309">
        <f t="shared" si="62"/>
        <v>0</v>
      </c>
      <c r="S123" s="281"/>
      <c r="T123" s="116"/>
      <c r="U123" s="116"/>
      <c r="V123" s="116"/>
      <c r="W123" s="116"/>
      <c r="X123" s="116"/>
      <c r="Y123" s="116"/>
    </row>
    <row r="124" spans="1:25" ht="15.75">
      <c r="A124" s="116"/>
      <c r="B124" s="116"/>
      <c r="C124" s="116"/>
      <c r="D124" s="116"/>
      <c r="E124" s="310" t="str">
        <f t="shared" ref="E124:F124" si="63">E194</f>
        <v>código 100</v>
      </c>
      <c r="F124" s="311">
        <f t="shared" si="63"/>
        <v>442777.14413004788</v>
      </c>
      <c r="G124" s="281"/>
      <c r="H124" s="310" t="str">
        <f t="shared" ref="H124:I124" si="64">H194</f>
        <v>código 100</v>
      </c>
      <c r="I124" s="311">
        <f t="shared" si="64"/>
        <v>427804.00399038452</v>
      </c>
      <c r="J124" s="281"/>
      <c r="K124" s="310" t="str">
        <f t="shared" si="60"/>
        <v>código 100</v>
      </c>
      <c r="L124" s="311">
        <f t="shared" si="60"/>
        <v>413337.20192307688</v>
      </c>
      <c r="M124" s="281"/>
      <c r="N124" s="310" t="str">
        <f t="shared" si="61"/>
        <v>código 100</v>
      </c>
      <c r="O124" s="311">
        <f t="shared" si="61"/>
        <v>399359.61538461538</v>
      </c>
      <c r="P124" s="281"/>
      <c r="Q124" s="310" t="str">
        <f t="shared" si="62"/>
        <v>código 100</v>
      </c>
      <c r="R124" s="311">
        <f t="shared" si="62"/>
        <v>399359.61538461538</v>
      </c>
      <c r="S124" s="281"/>
      <c r="T124" s="116"/>
      <c r="U124" s="116"/>
      <c r="V124" s="116"/>
      <c r="W124" s="116"/>
      <c r="X124" s="116"/>
      <c r="Y124" s="116"/>
    </row>
    <row r="125" spans="1:25" ht="15.75">
      <c r="A125" s="116"/>
      <c r="B125" s="116"/>
      <c r="C125" s="116"/>
      <c r="D125" s="116"/>
      <c r="E125" s="310" t="str">
        <f t="shared" ref="E125:F125" si="65">E195</f>
        <v>código 186 (No remun)</v>
      </c>
      <c r="F125" s="312">
        <f t="shared" si="65"/>
        <v>0</v>
      </c>
      <c r="G125" s="281"/>
      <c r="H125" s="310" t="str">
        <f t="shared" ref="H125:I125" si="66">H195</f>
        <v>código 186 (No remun)</v>
      </c>
      <c r="I125" s="312">
        <f t="shared" si="66"/>
        <v>0</v>
      </c>
      <c r="J125" s="281"/>
      <c r="K125" s="310" t="str">
        <f t="shared" si="60"/>
        <v>código 186 (No remun)</v>
      </c>
      <c r="L125" s="312">
        <f t="shared" si="60"/>
        <v>0</v>
      </c>
      <c r="M125" s="281"/>
      <c r="N125" s="310" t="str">
        <f t="shared" si="61"/>
        <v>código 186 (No remun)</v>
      </c>
      <c r="O125" s="312">
        <f t="shared" si="61"/>
        <v>0</v>
      </c>
      <c r="P125" s="281"/>
      <c r="Q125" s="310" t="str">
        <f t="shared" si="62"/>
        <v>código 186 (No remun)</v>
      </c>
      <c r="R125" s="312">
        <f t="shared" si="62"/>
        <v>0</v>
      </c>
      <c r="S125" s="281"/>
      <c r="T125" s="116"/>
      <c r="U125" s="116"/>
      <c r="V125" s="116"/>
      <c r="W125" s="116"/>
      <c r="X125" s="116"/>
      <c r="Y125" s="116"/>
    </row>
    <row r="126" spans="1:25" ht="15.75">
      <c r="A126" s="116"/>
      <c r="B126" s="116"/>
      <c r="C126" s="116"/>
      <c r="D126" s="116"/>
      <c r="E126" s="310" t="str">
        <f t="shared" ref="E126:F126" si="67">E196</f>
        <v>Líquido</v>
      </c>
      <c r="F126" s="312">
        <f t="shared" si="67"/>
        <v>345366.17242143734</v>
      </c>
      <c r="G126" s="281"/>
      <c r="H126" s="310" t="str">
        <f t="shared" ref="H126:I126" si="68">H196</f>
        <v>Líquido</v>
      </c>
      <c r="I126" s="312">
        <f t="shared" si="68"/>
        <v>333687.12311249995</v>
      </c>
      <c r="J126" s="281"/>
      <c r="K126" s="310" t="str">
        <f t="shared" si="60"/>
        <v>Líquido</v>
      </c>
      <c r="L126" s="312">
        <f t="shared" si="60"/>
        <v>322403.01749999996</v>
      </c>
      <c r="M126" s="281"/>
      <c r="N126" s="310" t="str">
        <f t="shared" si="61"/>
        <v>Líquido</v>
      </c>
      <c r="O126" s="312">
        <f t="shared" si="61"/>
        <v>311500.5</v>
      </c>
      <c r="P126" s="281"/>
      <c r="Q126" s="310" t="str">
        <f t="shared" si="62"/>
        <v>Líquido</v>
      </c>
      <c r="R126" s="312">
        <f t="shared" si="62"/>
        <v>311500.5</v>
      </c>
      <c r="S126" s="281"/>
      <c r="T126" s="116"/>
      <c r="U126" s="116"/>
      <c r="V126" s="116"/>
      <c r="W126" s="116"/>
      <c r="X126" s="116"/>
      <c r="Y126" s="116"/>
    </row>
    <row r="127" spans="1:25" ht="15.75">
      <c r="A127" s="116"/>
      <c r="B127" s="116"/>
      <c r="C127" s="116"/>
      <c r="D127" s="116"/>
      <c r="E127" s="310" t="str">
        <f>E197</f>
        <v>Descuentos con aguinaldo</v>
      </c>
      <c r="F127" s="312"/>
      <c r="G127" s="281"/>
      <c r="H127" s="310" t="str">
        <f>H197</f>
        <v>Descuentos con aguinaldo</v>
      </c>
      <c r="I127" s="312"/>
      <c r="J127" s="281"/>
      <c r="K127" s="310" t="str">
        <f>K197</f>
        <v>Descuentos con aguinaldo</v>
      </c>
      <c r="L127" s="312"/>
      <c r="M127" s="281"/>
      <c r="N127" s="310" t="str">
        <f>N197</f>
        <v>Descuentos con aguinaldo</v>
      </c>
      <c r="O127" s="312"/>
      <c r="P127" s="281"/>
      <c r="Q127" s="310" t="str">
        <f>Q197</f>
        <v>Descuentos con aguinaldo</v>
      </c>
      <c r="R127" s="312"/>
      <c r="S127" s="281"/>
      <c r="T127" s="116"/>
      <c r="U127" s="116"/>
      <c r="V127" s="116"/>
      <c r="W127" s="116"/>
      <c r="X127" s="116"/>
      <c r="Y127" s="116"/>
    </row>
    <row r="128" spans="1:25" ht="15.75">
      <c r="A128" s="116"/>
      <c r="B128" s="116"/>
      <c r="C128" s="116"/>
      <c r="D128" s="116"/>
      <c r="E128" s="313">
        <f t="shared" ref="E128:F128" si="69">E198</f>
        <v>502</v>
      </c>
      <c r="F128" s="312">
        <f t="shared" si="69"/>
        <v>-239889.27256793744</v>
      </c>
      <c r="G128" s="281"/>
      <c r="H128" s="313">
        <f t="shared" ref="H128:I128" si="70">H198</f>
        <v>502</v>
      </c>
      <c r="I128" s="312">
        <f t="shared" si="70"/>
        <v>-235864.58044881647</v>
      </c>
      <c r="J128" s="281"/>
      <c r="K128" s="313">
        <f t="shared" ref="K128:L129" si="71">K198</f>
        <v>502</v>
      </c>
      <c r="L128" s="312">
        <f t="shared" si="71"/>
        <v>-231371.6220725209</v>
      </c>
      <c r="M128" s="281"/>
      <c r="N128" s="313">
        <f t="shared" ref="N128:O129" si="72">N198</f>
        <v>502</v>
      </c>
      <c r="O128" s="312">
        <f t="shared" si="72"/>
        <v>-227634.98076923075</v>
      </c>
      <c r="P128" s="281"/>
      <c r="Q128" s="313">
        <f t="shared" ref="Q128:R129" si="73">Q198</f>
        <v>502</v>
      </c>
      <c r="R128" s="312">
        <f t="shared" si="73"/>
        <v>-227634.98076923075</v>
      </c>
      <c r="S128" s="281"/>
      <c r="T128" s="116"/>
      <c r="U128" s="116"/>
      <c r="V128" s="116"/>
      <c r="W128" s="116"/>
      <c r="X128" s="116"/>
      <c r="Y128" s="116"/>
    </row>
    <row r="129" spans="1:25" ht="15.75">
      <c r="A129" s="116"/>
      <c r="B129" s="116"/>
      <c r="C129" s="116"/>
      <c r="D129" s="116"/>
      <c r="E129" s="313">
        <f t="shared" ref="E129:F129" si="74">E199</f>
        <v>505</v>
      </c>
      <c r="F129" s="312">
        <f t="shared" si="74"/>
        <v>-37877.253563358543</v>
      </c>
      <c r="G129" s="281"/>
      <c r="H129" s="313">
        <f t="shared" ref="H129:I129" si="75">H199</f>
        <v>505</v>
      </c>
      <c r="I129" s="312">
        <f t="shared" si="75"/>
        <v>-37241.77586033944</v>
      </c>
      <c r="J129" s="281"/>
      <c r="K129" s="313">
        <f t="shared" si="71"/>
        <v>505</v>
      </c>
      <c r="L129" s="312">
        <f t="shared" si="71"/>
        <v>-36532.36137987172</v>
      </c>
      <c r="M129" s="281"/>
      <c r="N129" s="313">
        <f t="shared" si="72"/>
        <v>505</v>
      </c>
      <c r="O129" s="312">
        <f t="shared" si="72"/>
        <v>-35942.365384615376</v>
      </c>
      <c r="P129" s="281"/>
      <c r="Q129" s="313">
        <f t="shared" si="73"/>
        <v>505</v>
      </c>
      <c r="R129" s="312">
        <f t="shared" si="73"/>
        <v>-35942.365384615376</v>
      </c>
      <c r="S129" s="281"/>
      <c r="T129" s="116"/>
      <c r="U129" s="116"/>
      <c r="V129" s="116"/>
      <c r="W129" s="116"/>
      <c r="X129" s="116"/>
      <c r="Y129" s="116"/>
    </row>
    <row r="130" spans="1:25" ht="15.75">
      <c r="A130" s="116"/>
      <c r="B130" s="116"/>
      <c r="C130" s="116"/>
      <c r="D130" s="116"/>
      <c r="E130" s="310"/>
      <c r="F130" s="312"/>
      <c r="G130" s="281"/>
      <c r="H130" s="310"/>
      <c r="I130" s="312"/>
      <c r="J130" s="281"/>
      <c r="K130" s="310"/>
      <c r="L130" s="312"/>
      <c r="M130" s="281"/>
      <c r="N130" s="310"/>
      <c r="O130" s="312"/>
      <c r="P130" s="281"/>
      <c r="Q130" s="310"/>
      <c r="R130" s="312"/>
      <c r="S130" s="281"/>
      <c r="T130" s="116"/>
      <c r="U130" s="116"/>
      <c r="V130" s="116"/>
      <c r="W130" s="116"/>
      <c r="X130" s="116"/>
      <c r="Y130" s="116"/>
    </row>
    <row r="131" spans="1:25" ht="15.75">
      <c r="A131" s="116"/>
      <c r="B131" s="116"/>
      <c r="C131" s="116"/>
      <c r="D131" s="116"/>
      <c r="E131" s="310" t="str">
        <f>E201</f>
        <v>Sueldo líquido incluyendo aguinaldo</v>
      </c>
      <c r="F131" s="312"/>
      <c r="G131" s="281"/>
      <c r="H131" s="310" t="str">
        <f>H201</f>
        <v>Sueldo líquido incluyendo aguinaldo</v>
      </c>
      <c r="I131" s="312"/>
      <c r="J131" s="281"/>
      <c r="K131" s="310" t="str">
        <f>K201</f>
        <v>Sueldo líquido incluyendo aguinaldo</v>
      </c>
      <c r="L131" s="312"/>
      <c r="M131" s="281"/>
      <c r="N131" s="310" t="str">
        <f>N201</f>
        <v>Sueldo líquido incluyendo aguinaldo</v>
      </c>
      <c r="O131" s="312"/>
      <c r="P131" s="281"/>
      <c r="Q131" s="310" t="str">
        <f>Q201</f>
        <v>Sueldo líquido incluyendo aguinaldo</v>
      </c>
      <c r="R131" s="312"/>
      <c r="S131" s="281"/>
      <c r="T131" s="116"/>
      <c r="U131" s="116"/>
      <c r="V131" s="116"/>
      <c r="W131" s="116"/>
      <c r="X131" s="116"/>
      <c r="Y131" s="116"/>
    </row>
    <row r="132" spans="1:25" ht="15.75">
      <c r="A132" s="116"/>
      <c r="B132" s="116"/>
      <c r="C132" s="116"/>
      <c r="D132" s="116"/>
      <c r="E132" s="310"/>
      <c r="F132" s="311">
        <f>F202</f>
        <v>1270637.5614159731</v>
      </c>
      <c r="G132" s="281"/>
      <c r="H132" s="310"/>
      <c r="I132" s="311">
        <f>I202</f>
        <v>1192931.4094369977</v>
      </c>
      <c r="J132" s="281"/>
      <c r="K132" s="310"/>
      <c r="L132" s="311">
        <f>L202</f>
        <v>1103551.5873168383</v>
      </c>
      <c r="M132" s="281"/>
      <c r="N132" s="310"/>
      <c r="O132" s="311">
        <f>O202</f>
        <v>1061500.5</v>
      </c>
      <c r="P132" s="281"/>
      <c r="Q132" s="310"/>
      <c r="R132" s="311">
        <f>R202</f>
        <v>998707.49999999988</v>
      </c>
      <c r="S132" s="281"/>
      <c r="T132" s="116"/>
      <c r="U132" s="116"/>
      <c r="V132" s="116"/>
      <c r="W132" s="116"/>
      <c r="X132" s="116"/>
      <c r="Y132" s="116"/>
    </row>
    <row r="133" spans="1:25" ht="15.75">
      <c r="A133" s="116"/>
      <c r="B133" s="116"/>
      <c r="C133" s="116"/>
      <c r="D133" s="116"/>
      <c r="E133" s="314" t="str">
        <f>E203</f>
        <v>Aguinaldo de bolsillo</v>
      </c>
      <c r="F133" s="315"/>
      <c r="G133" s="316"/>
      <c r="H133" s="314" t="str">
        <f>H203</f>
        <v>Aguinaldo de bolsillo</v>
      </c>
      <c r="I133" s="315"/>
      <c r="J133" s="316"/>
      <c r="K133" s="314" t="str">
        <f>K203</f>
        <v>Aguinaldo de bolsillo</v>
      </c>
      <c r="L133" s="315"/>
      <c r="M133" s="316"/>
      <c r="N133" s="314" t="str">
        <f>N203</f>
        <v>Aguinaldo de bolsillo</v>
      </c>
      <c r="O133" s="315"/>
      <c r="P133" s="316"/>
      <c r="Q133" s="314" t="str">
        <f>Q203</f>
        <v>Aguinaldo de bolsillo</v>
      </c>
      <c r="R133" s="315"/>
      <c r="S133" s="316"/>
      <c r="T133" s="116"/>
      <c r="U133" s="116"/>
      <c r="V133" s="116"/>
      <c r="W133" s="116"/>
      <c r="X133" s="116"/>
      <c r="Y133" s="116"/>
    </row>
    <row r="134" spans="1:25" ht="16.5" thickBot="1">
      <c r="A134" s="116"/>
      <c r="B134" s="116"/>
      <c r="C134" s="116"/>
      <c r="D134" s="116"/>
      <c r="E134" s="317"/>
      <c r="F134" s="318">
        <f>F204</f>
        <v>359832.56141597312</v>
      </c>
      <c r="G134" s="281"/>
      <c r="H134" s="317"/>
      <c r="I134" s="318">
        <f>I204</f>
        <v>342931.40943699772</v>
      </c>
      <c r="J134" s="281"/>
      <c r="K134" s="317"/>
      <c r="L134" s="318">
        <f>L204</f>
        <v>327301.58731683833</v>
      </c>
      <c r="M134" s="281"/>
      <c r="N134" s="317"/>
      <c r="O134" s="318">
        <f>O204</f>
        <v>311500.5</v>
      </c>
      <c r="P134" s="281"/>
      <c r="Q134" s="317"/>
      <c r="R134" s="318">
        <f>R204</f>
        <v>311500.49999999988</v>
      </c>
      <c r="S134" s="281"/>
      <c r="T134" s="116"/>
      <c r="U134" s="116"/>
      <c r="V134" s="116"/>
      <c r="W134" s="116"/>
      <c r="X134" s="116"/>
      <c r="Y134" s="116"/>
    </row>
    <row r="135" spans="1:25" ht="16.5" thickTop="1">
      <c r="A135" s="116"/>
      <c r="B135" s="31"/>
      <c r="C135" s="31"/>
      <c r="D135" s="31"/>
      <c r="E135" s="31"/>
      <c r="F135" s="31"/>
      <c r="G135" s="281"/>
      <c r="H135" s="31"/>
      <c r="I135" s="31"/>
      <c r="J135" s="281"/>
      <c r="K135" s="31"/>
      <c r="L135" s="31"/>
      <c r="M135" s="281"/>
      <c r="N135" s="31"/>
      <c r="O135" s="31"/>
      <c r="P135" s="281"/>
      <c r="Q135" s="31"/>
      <c r="R135" s="31"/>
      <c r="S135" s="281"/>
      <c r="T135" s="116"/>
      <c r="U135" s="116"/>
      <c r="V135" s="116"/>
      <c r="W135" s="116"/>
      <c r="X135" s="116"/>
      <c r="Y135" s="116"/>
    </row>
    <row r="136" spans="1:25" ht="15.75" hidden="1">
      <c r="A136" s="116"/>
      <c r="B136" s="116"/>
      <c r="C136" s="116"/>
      <c r="D136" s="116"/>
      <c r="E136" s="116"/>
      <c r="F136" s="116"/>
      <c r="G136" s="319"/>
      <c r="H136" s="116"/>
      <c r="I136" s="116"/>
      <c r="J136" s="319"/>
      <c r="K136" s="116"/>
      <c r="L136" s="116"/>
      <c r="M136" s="319"/>
      <c r="N136" s="116"/>
      <c r="O136" s="116"/>
      <c r="P136" s="319"/>
      <c r="Q136" s="116"/>
      <c r="R136" s="116"/>
      <c r="S136" s="319"/>
      <c r="T136" s="116"/>
      <c r="U136" s="116"/>
      <c r="V136" s="116"/>
      <c r="W136" s="116"/>
      <c r="X136" s="116"/>
      <c r="Y136" s="116"/>
    </row>
    <row r="137" spans="1:25" ht="15.75" hidden="1">
      <c r="A137" s="116"/>
      <c r="B137" s="116"/>
      <c r="C137" s="116"/>
      <c r="D137" s="116"/>
      <c r="E137" s="116"/>
      <c r="F137" s="116"/>
      <c r="G137" s="319"/>
      <c r="H137" s="116"/>
      <c r="I137" s="116"/>
      <c r="J137" s="319"/>
      <c r="K137" s="116"/>
      <c r="L137" s="116"/>
      <c r="M137" s="319"/>
      <c r="N137" s="116"/>
      <c r="O137" s="116"/>
      <c r="P137" s="319"/>
      <c r="Q137" s="116"/>
      <c r="R137" s="116"/>
      <c r="S137" s="319"/>
      <c r="T137" s="116"/>
      <c r="U137" s="116"/>
      <c r="V137" s="116"/>
      <c r="W137" s="116"/>
      <c r="X137" s="116"/>
      <c r="Y137" s="116"/>
    </row>
    <row r="138" spans="1:25" ht="15.75" hidden="1">
      <c r="A138" s="116"/>
      <c r="B138" s="116"/>
      <c r="C138" s="116"/>
      <c r="D138" s="116"/>
      <c r="E138" s="116"/>
      <c r="F138" s="116"/>
      <c r="G138" s="319"/>
      <c r="H138" s="116"/>
      <c r="I138" s="116"/>
      <c r="J138" s="319"/>
      <c r="K138" s="116"/>
      <c r="L138" s="116"/>
      <c r="M138" s="319"/>
      <c r="N138" s="116"/>
      <c r="O138" s="116"/>
      <c r="P138" s="319"/>
      <c r="Q138" s="116"/>
      <c r="R138" s="116"/>
      <c r="S138" s="319"/>
      <c r="T138" s="116"/>
      <c r="U138" s="116"/>
      <c r="V138" s="116"/>
      <c r="W138" s="116"/>
      <c r="X138" s="116"/>
      <c r="Y138" s="116"/>
    </row>
    <row r="139" spans="1:25" ht="18" hidden="1">
      <c r="A139" s="116"/>
      <c r="B139" s="116"/>
      <c r="C139" s="116"/>
      <c r="D139" s="116"/>
      <c r="E139" s="116"/>
      <c r="F139" s="116"/>
      <c r="G139" s="319"/>
      <c r="H139" s="116"/>
      <c r="I139" s="116"/>
      <c r="J139" s="319"/>
      <c r="K139" s="116"/>
      <c r="L139" s="116"/>
      <c r="M139" s="319"/>
      <c r="N139" s="116"/>
      <c r="O139" s="116"/>
      <c r="P139" s="319"/>
      <c r="Q139" s="22">
        <v>45992</v>
      </c>
      <c r="R139" s="116"/>
      <c r="S139" s="319"/>
      <c r="T139" s="116"/>
      <c r="U139" s="116"/>
      <c r="V139" s="116"/>
      <c r="W139" s="116"/>
      <c r="X139" s="116"/>
      <c r="Y139" s="116"/>
    </row>
    <row r="140" spans="1:25" ht="21" hidden="1" thickBot="1">
      <c r="A140" s="116"/>
      <c r="B140" s="116"/>
      <c r="C140" s="320"/>
      <c r="D140" s="116"/>
      <c r="E140" s="866">
        <v>46266</v>
      </c>
      <c r="F140" s="867">
        <f>Aumentoseptiembre26</f>
        <v>0.10336174999999992</v>
      </c>
      <c r="G140" s="868"/>
      <c r="H140" s="807">
        <v>46204</v>
      </c>
      <c r="I140" s="808">
        <f>Aumentojulio26</f>
        <v>6.6049999999999942E-2</v>
      </c>
      <c r="J140" s="809"/>
      <c r="K140" s="807">
        <v>46143</v>
      </c>
      <c r="L140" s="808">
        <v>3.5000000000000003E-2</v>
      </c>
      <c r="M140" s="809"/>
      <c r="N140" s="807">
        <v>46054</v>
      </c>
      <c r="O140" s="808">
        <v>0</v>
      </c>
      <c r="P140" s="809"/>
      <c r="Q140" s="807">
        <v>45992</v>
      </c>
      <c r="R140" s="23"/>
      <c r="S140" s="21"/>
      <c r="T140" s="116"/>
      <c r="U140" s="116"/>
      <c r="V140" s="116"/>
      <c r="W140" s="116"/>
      <c r="X140" s="116"/>
      <c r="Y140" s="116"/>
    </row>
    <row r="141" spans="1:25" ht="15.75" hidden="1" thickBot="1">
      <c r="A141" s="31"/>
      <c r="B141" s="321" t="s">
        <v>463</v>
      </c>
      <c r="C141" s="321" t="s">
        <v>464</v>
      </c>
      <c r="D141" s="321" t="s">
        <v>465</v>
      </c>
      <c r="E141" s="321"/>
      <c r="F141" s="321"/>
      <c r="G141" s="321"/>
      <c r="H141" s="321"/>
      <c r="I141" s="321"/>
      <c r="J141" s="321"/>
      <c r="K141" s="321"/>
      <c r="L141" s="321"/>
      <c r="M141" s="321"/>
      <c r="N141" s="321"/>
      <c r="O141" s="321"/>
      <c r="P141" s="321"/>
      <c r="Q141" s="321"/>
      <c r="R141" s="321"/>
      <c r="S141" s="321"/>
      <c r="T141" s="31"/>
      <c r="U141" s="31"/>
      <c r="V141" s="31"/>
      <c r="W141" s="31"/>
      <c r="X141" s="31"/>
      <c r="Y141" s="31"/>
    </row>
    <row r="142" spans="1:25" ht="15.75" hidden="1" thickBot="1">
      <c r="A142" s="31"/>
      <c r="B142" s="322">
        <v>1</v>
      </c>
      <c r="C142" s="323"/>
      <c r="D142" s="324" t="s">
        <v>468</v>
      </c>
      <c r="E142" s="325">
        <f>punbascar*indicesep26</f>
        <v>282869.97631703992</v>
      </c>
      <c r="F142" s="325"/>
      <c r="G142" s="326"/>
      <c r="H142" s="325">
        <f>punbascar*indicejul26</f>
        <v>273304.32494399999</v>
      </c>
      <c r="I142" s="325"/>
      <c r="J142" s="326"/>
      <c r="K142" s="325">
        <f>punbascar*indicemay26</f>
        <v>265344.0048</v>
      </c>
      <c r="L142" s="325"/>
      <c r="M142" s="326"/>
      <c r="N142" s="325">
        <f>punbascar*indicedic25</f>
        <v>256370.96975318494</v>
      </c>
      <c r="O142" s="325"/>
      <c r="P142" s="326"/>
      <c r="Q142" s="325">
        <f>punbascar*indicedic25</f>
        <v>256370.96975318494</v>
      </c>
      <c r="R142" s="325"/>
      <c r="S142" s="326"/>
      <c r="T142" s="31"/>
      <c r="U142" s="31"/>
      <c r="V142" s="31"/>
      <c r="W142" s="31"/>
      <c r="X142" s="31"/>
      <c r="Y142" s="31"/>
    </row>
    <row r="143" spans="1:25" ht="15.75" hidden="1" thickBot="1">
      <c r="A143" s="31"/>
      <c r="B143" s="327">
        <v>2</v>
      </c>
      <c r="C143" s="328"/>
      <c r="D143" s="329" t="s">
        <v>469</v>
      </c>
      <c r="E143" s="330">
        <f>compbas2016*indicesep26</f>
        <v>120809.65929832797</v>
      </c>
      <c r="F143" s="325"/>
      <c r="G143" s="331"/>
      <c r="H143" s="330">
        <f>compbas2016*indicejul26</f>
        <v>116724.30850079999</v>
      </c>
      <c r="I143" s="325"/>
      <c r="J143" s="331"/>
      <c r="K143" s="330">
        <f>compbas2016*indicemay26</f>
        <v>113324.57136</v>
      </c>
      <c r="L143" s="325"/>
      <c r="M143" s="331"/>
      <c r="N143" s="330">
        <f>compbas2016*indicedic25</f>
        <v>109492.31838995447</v>
      </c>
      <c r="O143" s="325"/>
      <c r="P143" s="331"/>
      <c r="Q143" s="330">
        <f>compbas2016*indicedic25</f>
        <v>109492.31838995447</v>
      </c>
      <c r="R143" s="325"/>
      <c r="S143" s="331"/>
      <c r="T143" s="332"/>
      <c r="U143" s="31"/>
      <c r="V143" s="31"/>
      <c r="W143" s="31"/>
      <c r="X143" s="31"/>
      <c r="Y143" s="31"/>
    </row>
    <row r="144" spans="1:25" ht="15.75" hidden="1" thickBot="1">
      <c r="A144" s="31"/>
      <c r="B144" s="327" t="s">
        <v>501</v>
      </c>
      <c r="C144" s="328"/>
      <c r="D144" s="333" t="s">
        <v>462</v>
      </c>
      <c r="E144" s="334">
        <f>puntosexten*indicesep26</f>
        <v>0</v>
      </c>
      <c r="F144" s="325"/>
      <c r="G144" s="335"/>
      <c r="H144" s="334">
        <f>puntosexten*indicejul26</f>
        <v>0</v>
      </c>
      <c r="I144" s="325"/>
      <c r="J144" s="335"/>
      <c r="K144" s="334">
        <f>puntosexten*indicemay26</f>
        <v>0</v>
      </c>
      <c r="L144" s="325"/>
      <c r="M144" s="335"/>
      <c r="N144" s="334">
        <f>puntosexten*indicedic25</f>
        <v>0</v>
      </c>
      <c r="O144" s="325"/>
      <c r="P144" s="335"/>
      <c r="Q144" s="334">
        <f>puntosexten*indicedic25</f>
        <v>0</v>
      </c>
      <c r="R144" s="325"/>
      <c r="S144" s="335"/>
      <c r="T144" s="332"/>
      <c r="U144" s="31"/>
      <c r="V144" s="31"/>
      <c r="W144" s="31"/>
      <c r="X144" s="31"/>
      <c r="Y144" s="31"/>
    </row>
    <row r="145" spans="1:25" ht="15.75" hidden="1" thickBot="1">
      <c r="A145" s="31"/>
      <c r="B145" s="336" t="s">
        <v>471</v>
      </c>
      <c r="C145" s="337"/>
      <c r="D145" s="338" t="s">
        <v>472</v>
      </c>
      <c r="E145" s="339">
        <f>IF(nina=0,compdir22*indicesep26,compdir16*indicesep26)</f>
        <v>0</v>
      </c>
      <c r="F145" s="325"/>
      <c r="G145" s="326"/>
      <c r="H145" s="339">
        <f>IF(nina=0,compdir22*indicejul26,compdir16*indicejul26)</f>
        <v>0</v>
      </c>
      <c r="I145" s="325"/>
      <c r="J145" s="326"/>
      <c r="K145" s="339">
        <f>IF(nina=0,compdir22*indicemay26,compdir16*indicemay26)</f>
        <v>0</v>
      </c>
      <c r="L145" s="325"/>
      <c r="M145" s="326"/>
      <c r="N145" s="339">
        <f>IF(nina=0,compdir22*indicedic25,compdir16*indicedic25)</f>
        <v>0</v>
      </c>
      <c r="O145" s="325"/>
      <c r="P145" s="326"/>
      <c r="Q145" s="339">
        <f>IF(nina=0,compdir22*indicedic25,compdir16*indicedic25)</f>
        <v>0</v>
      </c>
      <c r="R145" s="325"/>
      <c r="S145" s="326"/>
      <c r="T145" s="332"/>
      <c r="U145" s="31"/>
      <c r="V145" s="31"/>
      <c r="W145" s="31"/>
      <c r="X145" s="31"/>
      <c r="Y145" s="31"/>
    </row>
    <row r="146" spans="1:25" ht="15.75" hidden="1" thickBot="1">
      <c r="A146" s="31"/>
      <c r="B146" s="327">
        <v>5</v>
      </c>
      <c r="C146" s="328"/>
      <c r="D146" s="329" t="s">
        <v>473</v>
      </c>
      <c r="E146" s="330">
        <f>puntosadicnina*Indiceproljorsep26</f>
        <v>0</v>
      </c>
      <c r="F146" s="325"/>
      <c r="G146" s="326"/>
      <c r="H146" s="330">
        <f>puntosadicnina*Indiceproljorjul26</f>
        <v>0</v>
      </c>
      <c r="I146" s="325"/>
      <c r="J146" s="326"/>
      <c r="K146" s="330">
        <f>puntosadicnina*Indiceproljormay26</f>
        <v>0</v>
      </c>
      <c r="L146" s="325"/>
      <c r="M146" s="326"/>
      <c r="N146" s="330">
        <f>puntosadicnina*Indiceproljordic25</f>
        <v>0</v>
      </c>
      <c r="O146" s="325"/>
      <c r="P146" s="326"/>
      <c r="Q146" s="330">
        <f>puntosadicnina*Indiceproljordic25</f>
        <v>0</v>
      </c>
      <c r="R146" s="325"/>
      <c r="S146" s="326"/>
      <c r="T146" s="332"/>
      <c r="U146" s="31"/>
      <c r="V146" s="31"/>
      <c r="W146" s="31"/>
      <c r="X146" s="31"/>
      <c r="Y146" s="31"/>
    </row>
    <row r="147" spans="1:25" ht="15.75" hidden="1" thickBot="1">
      <c r="A147" s="31"/>
      <c r="B147" s="340">
        <v>6</v>
      </c>
      <c r="C147" s="341"/>
      <c r="D147" s="341" t="s">
        <v>474</v>
      </c>
      <c r="E147" s="342">
        <f>LOOKUP(porantigcargo,porant,codigo06cargosdic25)*(1+Aumentoseptiembre26)</f>
        <v>228473.57164879452</v>
      </c>
      <c r="F147" s="325"/>
      <c r="G147" s="343"/>
      <c r="H147" s="342">
        <f>LOOKUP(porantigcargo,porant,codigo06cargosdic25)*(1+Aumentojulio26)</f>
        <v>220747.41222105752</v>
      </c>
      <c r="I147" s="325"/>
      <c r="J147" s="343"/>
      <c r="K147" s="342">
        <f>LOOKUP(porantigcargo,porant,codigo06cargosdic25)*(1+Aumentomayo26)</f>
        <v>214317.87594277429</v>
      </c>
      <c r="L147" s="325"/>
      <c r="M147" s="343"/>
      <c r="N147" s="342">
        <f>LOOKUP(porantigcargo,porant,codigo06cargosdic25)</f>
        <v>207070.41153891236</v>
      </c>
      <c r="O147" s="325"/>
      <c r="P147" s="343"/>
      <c r="Q147" s="342">
        <f>LOOKUP(porantigcargo,porant,codigo06cargosdic25)</f>
        <v>207070.41153891236</v>
      </c>
      <c r="R147" s="325"/>
      <c r="S147" s="343"/>
      <c r="T147" s="31"/>
      <c r="U147" s="31"/>
      <c r="V147" s="31"/>
      <c r="W147" s="31"/>
      <c r="X147" s="31"/>
      <c r="Y147" s="31"/>
    </row>
    <row r="148" spans="1:25" ht="15.75" hidden="1" thickBot="1">
      <c r="A148" s="31"/>
      <c r="B148" s="327">
        <v>10</v>
      </c>
      <c r="C148" s="344">
        <f>D64</f>
        <v>0</v>
      </c>
      <c r="D148" s="328" t="s">
        <v>475</v>
      </c>
      <c r="E148" s="330">
        <f>(E142+E143+E144+E145+E146+E151+E152)*porantigcargo</f>
        <v>0</v>
      </c>
      <c r="F148" s="325"/>
      <c r="G148" s="343"/>
      <c r="H148" s="330">
        <f>(H142+H143+H144+H145+H146+H151+H152+H156)*porantigcargo</f>
        <v>0</v>
      </c>
      <c r="I148" s="325"/>
      <c r="J148" s="343"/>
      <c r="K148" s="330">
        <f>(K142+K143+K144+K145+K146+K151+K152+K156)*porantigcargo</f>
        <v>0</v>
      </c>
      <c r="L148" s="325"/>
      <c r="M148" s="343"/>
      <c r="N148" s="330">
        <f>(N142+N143+N144+N145+N146+N151+N152+N156)*porantigcargo</f>
        <v>0</v>
      </c>
      <c r="O148" s="325"/>
      <c r="P148" s="343"/>
      <c r="Q148" s="330">
        <f>(Q142+Q143+Q144+Q145+Q146+Q151+Q152+Q156)*porantigcargo</f>
        <v>0</v>
      </c>
      <c r="R148" s="325"/>
      <c r="S148" s="343"/>
      <c r="T148" s="31"/>
      <c r="U148" s="31"/>
      <c r="V148" s="31"/>
      <c r="W148" s="31"/>
      <c r="X148" s="31"/>
      <c r="Y148" s="31"/>
    </row>
    <row r="149" spans="1:25" ht="15.75" hidden="1" thickBot="1">
      <c r="A149" s="31"/>
      <c r="B149" s="322">
        <v>14</v>
      </c>
      <c r="C149" s="323"/>
      <c r="D149" s="323" t="s">
        <v>476</v>
      </c>
      <c r="E149" s="325">
        <f>E147*0.07</f>
        <v>15993.150015415618</v>
      </c>
      <c r="F149" s="325"/>
      <c r="G149" s="345">
        <f>IF(puntosproljor&gt;600,G159,G154)</f>
        <v>171609.63176520984</v>
      </c>
      <c r="H149" s="325">
        <f>H147*0.07</f>
        <v>15452.318855474028</v>
      </c>
      <c r="I149" s="325"/>
      <c r="J149" s="345">
        <f>IF(puntosproljor&gt;600,J159,J154)</f>
        <v>165806.40750261827</v>
      </c>
      <c r="K149" s="325">
        <f>K147*0.07</f>
        <v>15002.251315994203</v>
      </c>
      <c r="L149" s="325"/>
      <c r="M149" s="345">
        <f>IF(puntosproljor&gt;600,M159,M154)</f>
        <v>157226.64368802353</v>
      </c>
      <c r="N149" s="325">
        <f>N147*0.07</f>
        <v>14494.928807723867</v>
      </c>
      <c r="O149" s="325"/>
      <c r="P149" s="345">
        <f>IF(puntosproljor&gt;600,P159,P154)</f>
        <v>151909.87113031338</v>
      </c>
      <c r="Q149" s="325">
        <f>Q147*0.07</f>
        <v>14494.928807723867</v>
      </c>
      <c r="R149" s="325"/>
      <c r="S149" s="345">
        <f>IF(puntosproljor&gt;600,S159,S154)</f>
        <v>151909.87113031338</v>
      </c>
      <c r="T149" s="332"/>
      <c r="U149" s="31"/>
      <c r="V149" s="31"/>
      <c r="W149" s="31"/>
      <c r="X149" s="31"/>
      <c r="Y149" s="31"/>
    </row>
    <row r="150" spans="1:25" ht="15.75" hidden="1" thickBot="1">
      <c r="A150" s="31"/>
      <c r="B150" s="327">
        <v>188</v>
      </c>
      <c r="C150" s="344">
        <v>7.0000000000000007E-2</v>
      </c>
      <c r="D150" s="328" t="s">
        <v>477</v>
      </c>
      <c r="E150" s="346">
        <f>(E142+E143+E144+E145+E146+E148+E151+E152+E153+E154+E155+E156)*0.07</f>
        <v>41940.308095057946</v>
      </c>
      <c r="F150" s="325"/>
      <c r="G150" s="343"/>
      <c r="H150" s="346">
        <f>(H142+H143+H144+H145+H146+H148+H151+H152+H153+H154+H155+H156)*0.07</f>
        <v>40522.036806819277</v>
      </c>
      <c r="I150" s="325"/>
      <c r="J150" s="343"/>
      <c r="K150" s="346">
        <f>(K142+K143+K144+K145+K146+K148+K151+K152+K153+K154+K155+K156)*0.07</f>
        <v>39079.251739361651</v>
      </c>
      <c r="L150" s="325"/>
      <c r="M150" s="343"/>
      <c r="N150" s="346">
        <f>(N142+N143+N144+N145+N146+N148+N151+N152+N153+N154+N155+N156)*0.07</f>
        <v>37757.731149141699</v>
      </c>
      <c r="O150" s="325"/>
      <c r="P150" s="343"/>
      <c r="Q150" s="346">
        <f>(Q142+Q143+Q144+Q145+Q146+Q148+Q151+Q152+Q153+Q154+Q155+Q156)*0.07</f>
        <v>37757.731149141699</v>
      </c>
      <c r="R150" s="325"/>
      <c r="S150" s="343"/>
      <c r="T150" s="332"/>
      <c r="U150" s="31"/>
      <c r="V150" s="31"/>
      <c r="W150" s="31"/>
      <c r="X150" s="31"/>
      <c r="Y150" s="31"/>
    </row>
    <row r="151" spans="1:25" ht="16.5" hidden="1" thickBot="1">
      <c r="A151" s="31"/>
      <c r="B151" s="322">
        <v>52</v>
      </c>
      <c r="C151" s="323"/>
      <c r="D151" s="323" t="s">
        <v>478</v>
      </c>
      <c r="E151" s="325">
        <f>puntosproljor*Indiceproljorsep26</f>
        <v>0</v>
      </c>
      <c r="F151" s="347"/>
      <c r="G151" s="348">
        <f>J151*1.035</f>
        <v>596616.68455577409</v>
      </c>
      <c r="H151" s="325">
        <f>puntosproljor*Indiceproljorjul26</f>
        <v>0</v>
      </c>
      <c r="I151" s="347"/>
      <c r="J151" s="348">
        <f>M151*1.035</f>
        <v>576441.24111668998</v>
      </c>
      <c r="K151" s="325">
        <f>puntosproljor*Indiceproljormay26</f>
        <v>0</v>
      </c>
      <c r="L151" s="347"/>
      <c r="M151" s="348">
        <f>P151*1.035</f>
        <v>556948.05904994207</v>
      </c>
      <c r="N151" s="325">
        <f>puntosproljor*Indiceproljordic25</f>
        <v>0</v>
      </c>
      <c r="O151" s="347"/>
      <c r="P151" s="348">
        <v>538114.06671491987</v>
      </c>
      <c r="Q151" s="325">
        <f>puntosproljor*Indiceproljordic25</f>
        <v>0</v>
      </c>
      <c r="R151" s="347"/>
      <c r="S151" s="348">
        <v>538114.06671491987</v>
      </c>
      <c r="T151" s="349"/>
      <c r="U151" s="31"/>
      <c r="V151" s="31"/>
      <c r="W151" s="31"/>
      <c r="X151" s="31"/>
      <c r="Y151" s="31"/>
    </row>
    <row r="152" spans="1:25" ht="18" hidden="1" thickBot="1">
      <c r="A152" s="31"/>
      <c r="B152" s="327">
        <v>16</v>
      </c>
      <c r="C152" s="328"/>
      <c r="D152" s="328" t="s">
        <v>479</v>
      </c>
      <c r="E152" s="330">
        <f>puntostardif*indicesep26</f>
        <v>0</v>
      </c>
      <c r="F152" s="325"/>
      <c r="G152" s="350">
        <f>IF((totalremsep26-E153*1.07-E144*(1+porantigcargo+porzonacargo)*1.07)*0.78&lt;G151,(G151-(totalremsep26-E153*1.07-E144*(1+porantigcargo+porzonacargo)*1.07)*0.78)/0.78,0)/1.07</f>
        <v>58842.245847284255</v>
      </c>
      <c r="H152" s="330">
        <f>puntostardif*indicejul26</f>
        <v>0</v>
      </c>
      <c r="I152" s="325"/>
      <c r="J152" s="350">
        <f>IF((totalremjul26-H153*1.07-H144*(1+porantigcargo+porzonacargo)*1.07)*0.78&lt;J151,(J151-(totalremjul26-H153*1.07-H144*(1+porantigcargo+porzonacargo)*1.07)*0.78)/0.78,0)/1.07</f>
        <v>56852.411446651444</v>
      </c>
      <c r="K152" s="330">
        <f>puntostardif*indicemay26</f>
        <v>0</v>
      </c>
      <c r="L152" s="325"/>
      <c r="M152" s="350">
        <f>IF((totalremmay26-K153*1.07-K144*(1+porantigcargo+porzonacargo)*1.07)*0.78&lt;M151,(M151-(totalremmay26-K153*1.07-K144*(1+porantigcargo+porzonacargo)*1.07)*0.78)/0.78,0)/1.07</f>
        <v>51957.082281292351</v>
      </c>
      <c r="N152" s="330">
        <f>puntostardif*indicedic25</f>
        <v>0</v>
      </c>
      <c r="O152" s="325"/>
      <c r="P152" s="350">
        <f>IF((totalremdic25-N153*1.07-N144*(1+porantigcargo+porzonacargo)*1.07)*0.78&lt;P151,(P151-(totalremdic25-N153*1.07-N144*(1+porantigcargo+porzonacargo)*1.07)*0.78)/0.78,0)/1.07</f>
        <v>50200.149964389449</v>
      </c>
      <c r="Q152" s="330">
        <f>puntostardif*indicedic25</f>
        <v>0</v>
      </c>
      <c r="R152" s="325"/>
      <c r="S152" s="350">
        <f>IF((totalremdic25-Q153*1.07-Q144*(1+porantigcargo+porzonacargo)*1.07)*0.78&lt;S151,(S151-(totalremdic25-Q153*1.07-Q144*(1+porantigcargo+porzonacargo)*1.07)*0.78)/0.78,0)/1.07</f>
        <v>50200.149964389449</v>
      </c>
      <c r="T152" s="332"/>
      <c r="U152" s="31"/>
      <c r="V152" s="31"/>
      <c r="W152" s="31"/>
      <c r="X152" s="31"/>
      <c r="Y152" s="31"/>
    </row>
    <row r="153" spans="1:25" ht="16.5" hidden="1" thickBot="1">
      <c r="A153" s="31"/>
      <c r="B153" s="322">
        <v>78</v>
      </c>
      <c r="C153" s="351">
        <f>C83</f>
        <v>0</v>
      </c>
      <c r="D153" s="323" t="s">
        <v>480</v>
      </c>
      <c r="E153" s="352">
        <f>(E142+E143+E144+E145+E146+E151+E152+E156)*porzonacargo</f>
        <v>0</v>
      </c>
      <c r="F153" s="347"/>
      <c r="G153" s="348">
        <f>J153*1.035</f>
        <v>690732.34484287479</v>
      </c>
      <c r="H153" s="352">
        <f>(H142+H143+H144+H145+H146+H151+H152+H156)*porzonacargo</f>
        <v>0</v>
      </c>
      <c r="I153" s="347"/>
      <c r="J153" s="348">
        <f>M153*1.035</f>
        <v>667374.24622499989</v>
      </c>
      <c r="K153" s="352">
        <f>(K142+K143+K144+K145+K146+K151+K152+K156)*porzonacargo</f>
        <v>0</v>
      </c>
      <c r="L153" s="347"/>
      <c r="M153" s="348">
        <f>P153*1.035</f>
        <v>644806.03499999992</v>
      </c>
      <c r="N153" s="352">
        <f>(N142+N143+N144+N145+N146+N151+N152+N156)*porzonacargo</f>
        <v>0</v>
      </c>
      <c r="O153" s="347"/>
      <c r="P153" s="348">
        <v>623001</v>
      </c>
      <c r="Q153" s="352">
        <f>(Q142+Q143+Q144+Q145+Q146+Q151+Q152+Q156)*porzonacargo</f>
        <v>0</v>
      </c>
      <c r="R153" s="347"/>
      <c r="S153" s="348">
        <v>623001</v>
      </c>
      <c r="T153" s="349"/>
      <c r="U153" s="31"/>
      <c r="V153" s="31"/>
      <c r="W153" s="31"/>
      <c r="X153" s="31"/>
      <c r="Y153" s="31"/>
    </row>
    <row r="154" spans="1:25" ht="18" hidden="1" thickBot="1">
      <c r="A154" s="31"/>
      <c r="B154" s="327">
        <v>185</v>
      </c>
      <c r="C154" s="328"/>
      <c r="D154" s="353" t="s">
        <v>481</v>
      </c>
      <c r="E154" s="354">
        <f>IF(punbascar&lt;913,G152,G149)</f>
        <v>171609.63176520984</v>
      </c>
      <c r="F154" s="810">
        <f>E154/H154-1</f>
        <v>3.4999999999999476E-2</v>
      </c>
      <c r="G154" s="355">
        <f>IF((totalremsep26-E153*1.07-E144*(1+porantigcargo+porzonacargo)*1.07)*0.78&lt;G153,(G153-(totalremsep26-E153*1.07-E144*(1+porantigcargo+porzonacargo)*1.07)*0.78)/0.78,0)/1.07</f>
        <v>171609.63176520984</v>
      </c>
      <c r="H154" s="354">
        <f>IF(punbascar&lt;913,J152,J149)</f>
        <v>165806.40750261827</v>
      </c>
      <c r="I154" s="810">
        <f>H154/K154-1</f>
        <v>5.4569401300832432E-2</v>
      </c>
      <c r="J154" s="355">
        <f>IF((totalremjul26-H153*1.07-H144*(1+porantigcargo+porzonacargo)*1.07)*0.78&lt;J153,(J153-(totalremjul26-H153*1.07-H144*(1+porantigcargo+porzonacargo)*1.07)*0.78)/0.78,0)/1.07</f>
        <v>165806.40750261827</v>
      </c>
      <c r="K154" s="354">
        <f>IF(punbascar&lt;913,M152,M149)</f>
        <v>157226.64368802353</v>
      </c>
      <c r="L154" s="810">
        <f>K154/N154-1</f>
        <v>3.499951990051553E-2</v>
      </c>
      <c r="M154" s="355">
        <f>IF((totalremmay26-K153*1.07-K144*(1+porantigcargo+porzonacargo)*1.07)*0.78&lt;M153,(M153-(totalremmay26-K153*1.07-K144*(1+porantigcargo+porzonacargo)*1.07)*0.78)/0.78,0)/1.07</f>
        <v>157226.64368802353</v>
      </c>
      <c r="N154" s="354">
        <f>IF(punbascar&lt;913,P152,P149)</f>
        <v>151909.87113031338</v>
      </c>
      <c r="O154" s="325"/>
      <c r="P154" s="355">
        <f>IF((totalremdic25-N153*1.07-N144*(1+porantigcargo+porzonacargo)*1.07)*0.78&lt;P153,(P153-(totalremdic25-N153*1.07-N144*(1+porantigcargo+porzonacargo)*1.07)*0.78)/0.78,0)/1.07</f>
        <v>151909.87113031338</v>
      </c>
      <c r="Q154" s="354">
        <f>IF(punbascar&lt;913,S152,S149)</f>
        <v>151909.87113031338</v>
      </c>
      <c r="R154" s="325"/>
      <c r="S154" s="355">
        <f>IF((totalremdic25-Q153*1.07-Q144*(1+porantigcargo+porzonacargo)*1.07)*0.78&lt;S153,(S153-(totalremdic25-Q153*1.07-Q144*(1+porantigcargo+porzonacargo)*1.07)*0.78)/0.78,0)/1.07</f>
        <v>151909.87113031338</v>
      </c>
      <c r="T154" s="332"/>
      <c r="U154" s="31"/>
      <c r="V154" s="31"/>
      <c r="W154" s="31"/>
      <c r="X154" s="31"/>
      <c r="Y154" s="31"/>
    </row>
    <row r="155" spans="1:25" ht="16.5" hidden="1" thickBot="1">
      <c r="A155" s="31"/>
      <c r="B155" s="322">
        <v>117</v>
      </c>
      <c r="C155" s="265">
        <f>C85</f>
        <v>1</v>
      </c>
      <c r="D155" s="323" t="s">
        <v>482</v>
      </c>
      <c r="E155" s="339">
        <f>IF(AND(puntosproljor&lt;620,punbascar&lt;2200),21623,43246)*$C155*(1+Aumentoseptiembre26)</f>
        <v>23857.991120249997</v>
      </c>
      <c r="F155" s="325"/>
      <c r="G155" s="343"/>
      <c r="H155" s="339">
        <f>IF(AND(puntosproljor&lt;620,punbascar&lt;2200),21623,43246)*$C155*(1+Aumentojulio26)</f>
        <v>23051.19915</v>
      </c>
      <c r="I155" s="325"/>
      <c r="J155" s="343"/>
      <c r="K155" s="339">
        <f>IF(AND(puntosproljor&lt;620,punbascar&lt;2200),21623,43246)*$C155*(1+Aumentomayo26)</f>
        <v>22379.804999999997</v>
      </c>
      <c r="L155" s="325"/>
      <c r="M155" s="343"/>
      <c r="N155" s="339">
        <f>IF(AND(puntosproljor&lt;620,punbascar&lt;2200),21623,43246)*$C155</f>
        <v>21623</v>
      </c>
      <c r="O155" s="325"/>
      <c r="P155" s="343"/>
      <c r="Q155" s="339">
        <f>IF(AND(puntosproljor&lt;620,punbascar&lt;2200),21623,43246)*$C155</f>
        <v>21623</v>
      </c>
      <c r="R155" s="325"/>
      <c r="S155" s="343"/>
      <c r="T155" s="356"/>
      <c r="U155" s="332"/>
      <c r="V155" s="31"/>
      <c r="W155" s="31"/>
      <c r="X155" s="31"/>
      <c r="Y155" s="31"/>
    </row>
    <row r="156" spans="1:25" ht="15.75" hidden="1" thickBot="1">
      <c r="A156" s="31"/>
      <c r="B156" s="357">
        <v>25</v>
      </c>
      <c r="C156" s="251">
        <f>C86</f>
        <v>1</v>
      </c>
      <c r="D156" s="358" t="s">
        <v>483</v>
      </c>
      <c r="E156" s="359">
        <f>IF(AND(porantigcargo&gt;=0.5,$C156=1),25000,0)</f>
        <v>0</v>
      </c>
      <c r="F156" s="360"/>
      <c r="G156" s="343"/>
      <c r="H156" s="359">
        <f>IF(AND(porantigcargo&gt;=0.5,$C156=1),25000,0)</f>
        <v>0</v>
      </c>
      <c r="I156" s="360"/>
      <c r="J156" s="343"/>
      <c r="K156" s="359">
        <f>IF(AND(porantigcargo&gt;=0.5,$C156=1),25000,0)</f>
        <v>0</v>
      </c>
      <c r="L156" s="360"/>
      <c r="M156" s="343"/>
      <c r="N156" s="359">
        <f>IF(AND(porantigcargo&gt;=0.5,$C156=1),25000,0)</f>
        <v>0</v>
      </c>
      <c r="O156" s="360"/>
      <c r="P156" s="343"/>
      <c r="Q156" s="359">
        <f>IF(AND(porantigcargo&gt;=0.5,$C156=1),25000,0)</f>
        <v>0</v>
      </c>
      <c r="R156" s="360"/>
      <c r="S156" s="343"/>
      <c r="T156" s="356"/>
      <c r="U156" s="332"/>
      <c r="V156" s="31"/>
      <c r="W156" s="31"/>
      <c r="X156" s="31"/>
      <c r="Y156" s="31"/>
    </row>
    <row r="157" spans="1:25" ht="16.5" hidden="1" thickBot="1">
      <c r="A157" s="31"/>
      <c r="B157" s="921">
        <v>32</v>
      </c>
      <c r="C157" s="908"/>
      <c r="D157" s="922" t="s">
        <v>570</v>
      </c>
      <c r="E157" s="923">
        <f>E156*porantigcargo*C156</f>
        <v>0</v>
      </c>
      <c r="F157" s="915" t="s">
        <v>573</v>
      </c>
      <c r="G157" s="343"/>
      <c r="H157" s="359"/>
      <c r="I157" s="360"/>
      <c r="J157" s="343"/>
      <c r="K157" s="359"/>
      <c r="L157" s="360"/>
      <c r="M157" s="343"/>
      <c r="N157" s="359"/>
      <c r="O157" s="360"/>
      <c r="P157" s="343"/>
      <c r="Q157" s="359"/>
      <c r="R157" s="360"/>
      <c r="S157" s="343"/>
      <c r="T157" s="356"/>
      <c r="U157" s="332"/>
      <c r="V157" s="31"/>
      <c r="W157" s="31"/>
      <c r="X157" s="31"/>
      <c r="Y157" s="31"/>
    </row>
    <row r="158" spans="1:25" ht="16.5" hidden="1" thickBot="1">
      <c r="A158" s="31"/>
      <c r="B158" s="322">
        <v>29</v>
      </c>
      <c r="C158" s="361">
        <f>cantkm</f>
        <v>0</v>
      </c>
      <c r="D158" s="323" t="s">
        <v>484</v>
      </c>
      <c r="E158" s="339">
        <f>kmsem*2128/15*4</f>
        <v>0</v>
      </c>
      <c r="F158" s="347"/>
      <c r="G158" s="348">
        <f>J158*1.035</f>
        <v>891903.65967224992</v>
      </c>
      <c r="H158" s="339">
        <f>kmsem*2128/15*4</f>
        <v>0</v>
      </c>
      <c r="I158" s="347"/>
      <c r="J158" s="348">
        <f>M158*1.035</f>
        <v>861742.66634999996</v>
      </c>
      <c r="K158" s="339">
        <f>kmsem*2128/15*4</f>
        <v>0</v>
      </c>
      <c r="L158" s="347"/>
      <c r="M158" s="348">
        <f>P158*1.035</f>
        <v>832601.61</v>
      </c>
      <c r="N158" s="339">
        <f>kmsem*1820/15*4</f>
        <v>0</v>
      </c>
      <c r="O158" s="347"/>
      <c r="P158" s="348">
        <v>804446</v>
      </c>
      <c r="Q158" s="339">
        <f>kmsem*1820/15*4</f>
        <v>0</v>
      </c>
      <c r="R158" s="347"/>
      <c r="S158" s="348">
        <v>804446</v>
      </c>
      <c r="T158" s="362"/>
      <c r="U158" s="349"/>
      <c r="V158" s="31"/>
      <c r="W158" s="31"/>
      <c r="X158" s="31"/>
      <c r="Y158" s="31"/>
    </row>
    <row r="159" spans="1:25" ht="18" hidden="1" thickBot="1">
      <c r="A159" s="31"/>
      <c r="B159" s="363" t="s">
        <v>485</v>
      </c>
      <c r="C159" s="328" t="s">
        <v>486</v>
      </c>
      <c r="D159" s="328"/>
      <c r="E159" s="364">
        <f>E89</f>
        <v>0</v>
      </c>
      <c r="F159" s="325"/>
      <c r="G159" s="350">
        <f>IF((totalremsep26-E153*1.07-E144*(1+porantigcargo+porzonacargo)*1.07)*0.78&lt;G158,(G158-(totalremsep26-E153*1.07-E144*(1+porantigcargo+porzonacargo)*1.07)*0.78)/0.78,0)/1.07</f>
        <v>412648.82997917477</v>
      </c>
      <c r="H159" s="364">
        <f>H89</f>
        <v>0</v>
      </c>
      <c r="I159" s="325"/>
      <c r="J159" s="350">
        <f>IF((totalremjul26-H153*1.07-H144*(1+porantigcargo+porzonacargo)*1.07)*0.78&lt;J158,(J158-(totalremjul26-H153*1.07-H144*(1+porantigcargo+porzonacargo)*1.07)*0.78)/0.78,0)/1.07</f>
        <v>398694.52171900944</v>
      </c>
      <c r="K159" s="364">
        <f>K89</f>
        <v>0</v>
      </c>
      <c r="L159" s="325"/>
      <c r="M159" s="350">
        <f>IF((totalremmay26-K153*1.07-K144*(1+porantigcargo+porzonacargo)*1.07)*0.78&lt;M158,(M158-(totalremmay26-K153*1.07-K144*(1+porantigcargo+porzonacargo)*1.07)*0.78)/0.78,0)/1.07</f>
        <v>382239.3144284981</v>
      </c>
      <c r="N159" s="364">
        <f>N89</f>
        <v>0</v>
      </c>
      <c r="O159" s="325"/>
      <c r="P159" s="350">
        <f>IF((totalremdic25-N153*1.07-N144*(1+porantigcargo+porzonacargo)*1.07)*0.78&lt;P158,(P158-(totalremdic25-N153*1.07-N144*(1+porantigcargo+porzonacargo)*1.07)*0.78)/0.78,0)/1.07</f>
        <v>369313.41773946746</v>
      </c>
      <c r="Q159" s="364">
        <f>Q89</f>
        <v>0</v>
      </c>
      <c r="R159" s="325"/>
      <c r="S159" s="350">
        <f>IF((totalremdic25-Q153*1.07-Q144*(1+porantigcargo+porzonacargo)*1.07)*0.78&lt;S158,(S158-(totalremdic25-Q153*1.07-Q144*(1+porantigcargo+porzonacargo)*1.07)*0.78)/0.78,0)/1.07</f>
        <v>369313.41773946746</v>
      </c>
      <c r="T159" s="356"/>
      <c r="U159" s="332"/>
      <c r="V159" s="31"/>
      <c r="W159" s="31"/>
      <c r="X159" s="31"/>
      <c r="Y159" s="31"/>
    </row>
    <row r="160" spans="1:25" ht="15.75" hidden="1" thickBot="1">
      <c r="A160" s="31"/>
      <c r="B160" s="363"/>
      <c r="C160" s="328"/>
      <c r="D160" s="365" t="s">
        <v>487</v>
      </c>
      <c r="E160" s="366">
        <f>SUM(E142:E158,E158,E159)</f>
        <v>885554.28826009575</v>
      </c>
      <c r="F160" s="859"/>
      <c r="G160" s="367"/>
      <c r="H160" s="366">
        <f>SUM(H142:H156,H158,H159)</f>
        <v>855608.00798076903</v>
      </c>
      <c r="I160" s="816"/>
      <c r="J160" s="367"/>
      <c r="K160" s="366">
        <f>SUM(K142:K156,K158,K159)</f>
        <v>826674.40384615376</v>
      </c>
      <c r="L160" s="37"/>
      <c r="M160" s="367"/>
      <c r="N160" s="366">
        <f>SUM(N142:N156,N158,N159)</f>
        <v>798719.23076923075</v>
      </c>
      <c r="O160" s="37"/>
      <c r="P160" s="367"/>
      <c r="Q160" s="366">
        <f>SUM(Q142:Q156,Q158,Q159)</f>
        <v>798719.23076923075</v>
      </c>
      <c r="R160" s="37"/>
      <c r="S160" s="367"/>
      <c r="T160" s="356"/>
      <c r="U160" s="31"/>
      <c r="V160" s="31"/>
      <c r="W160" s="31"/>
      <c r="X160" s="31"/>
      <c r="Y160" s="31"/>
    </row>
    <row r="161" spans="1:25" ht="16.5" hidden="1" thickBot="1">
      <c r="A161" s="31"/>
      <c r="B161" s="322">
        <v>184</v>
      </c>
      <c r="C161" s="265">
        <f>C91</f>
        <v>1</v>
      </c>
      <c r="D161" s="323" t="s">
        <v>488</v>
      </c>
      <c r="E161" s="339">
        <f>(IF(AND(puntosproljor&lt;620,punbascar&lt;1943),51070,102139)+36000)*$C161</f>
        <v>87070</v>
      </c>
      <c r="F161" s="325"/>
      <c r="G161" s="343"/>
      <c r="H161" s="339">
        <f>(IF(AND(puntosproljor&lt;620,punbascar&lt;1943),51070,102139)+36000)*$C161</f>
        <v>87070</v>
      </c>
      <c r="I161" s="325"/>
      <c r="J161" s="343"/>
      <c r="K161" s="339">
        <f>IF(AND(puntosproljor&lt;620,punbascar&lt;1943),36752.4,73504.8)*$C161</f>
        <v>36752.400000000001</v>
      </c>
      <c r="L161" s="325"/>
      <c r="M161" s="343"/>
      <c r="N161" s="339">
        <f>IF(AND(puntosproljor&lt;620,punbascar&lt;1943),36752.4,73504.8)*$C161</f>
        <v>36752.400000000001</v>
      </c>
      <c r="O161" s="325"/>
      <c r="P161" s="343"/>
      <c r="Q161" s="339">
        <f>IF(AND(puntosproljor&lt;620,punbascar&lt;1943),36752.4,73504.8)*$C161</f>
        <v>36752.400000000001</v>
      </c>
      <c r="R161" s="325"/>
      <c r="S161" s="343"/>
      <c r="T161" s="356"/>
      <c r="U161" s="31"/>
      <c r="V161" s="31"/>
      <c r="W161" s="31"/>
      <c r="X161" s="31"/>
      <c r="Y161" s="31"/>
    </row>
    <row r="162" spans="1:25" ht="16.5" hidden="1" thickBot="1">
      <c r="A162" s="31"/>
      <c r="B162" s="322">
        <v>204</v>
      </c>
      <c r="C162" s="265">
        <f>C92</f>
        <v>1</v>
      </c>
      <c r="D162" s="323" t="s">
        <v>489</v>
      </c>
      <c r="E162" s="339">
        <f>(IF(AND(puntosproljor&lt;620,punbascar&lt;1943),38148,76297)+24000)*$C162</f>
        <v>62148</v>
      </c>
      <c r="F162" s="368"/>
      <c r="G162" s="343">
        <f>E160+E161+E162+F173</f>
        <v>839950.34484287468</v>
      </c>
      <c r="H162" s="339">
        <f>(IF(AND(puntosproljor&lt;620,punbascar&lt;1943),38148,76297)+24000)*$C162</f>
        <v>62148</v>
      </c>
      <c r="I162" s="368"/>
      <c r="J162" s="343">
        <f>H160+H161+H162+I173</f>
        <v>816592.24622499989</v>
      </c>
      <c r="K162" s="339">
        <f>IF(AND(puntosproljor&lt;620,punbascar&lt;1943),27453.67,54907.34)*$C162</f>
        <v>27453.67</v>
      </c>
      <c r="L162" s="368"/>
      <c r="M162" s="343">
        <f>K160+K161+K162+K163+K164+L173</f>
        <v>709012.10499999998</v>
      </c>
      <c r="N162" s="339">
        <f>IF(AND(puntosproljor&lt;620,punbascar&lt;1943),27453.6,54907.2)*$C162</f>
        <v>27453.599999999999</v>
      </c>
      <c r="O162" s="368"/>
      <c r="P162" s="343">
        <f>N160+N161+N162+O173</f>
        <v>687207</v>
      </c>
      <c r="Q162" s="339">
        <f>IF(AND(puntosproljor&lt;620,punbascar&lt;1943),27453.6,54907.2)*$C162</f>
        <v>27453.599999999999</v>
      </c>
      <c r="R162" s="368"/>
      <c r="S162" s="343"/>
      <c r="T162" s="356"/>
      <c r="U162" s="31"/>
      <c r="V162" s="31"/>
      <c r="W162" s="31"/>
      <c r="X162" s="31"/>
      <c r="Y162" s="31"/>
    </row>
    <row r="163" spans="1:25" ht="16.5" hidden="1" thickBot="1">
      <c r="A163" s="31"/>
      <c r="B163" s="322">
        <v>234</v>
      </c>
      <c r="C163" s="265">
        <v>0</v>
      </c>
      <c r="D163" s="323" t="s">
        <v>549</v>
      </c>
      <c r="E163" s="903" t="s">
        <v>568</v>
      </c>
      <c r="G163" s="343"/>
      <c r="H163" s="903" t="s">
        <v>568</v>
      </c>
      <c r="I163" s="368"/>
      <c r="J163" s="343"/>
      <c r="K163" s="339">
        <f>36000*$C163</f>
        <v>0</v>
      </c>
      <c r="L163" s="368"/>
      <c r="M163" s="343"/>
      <c r="N163" s="339"/>
      <c r="O163" s="368"/>
      <c r="P163" s="343"/>
      <c r="Q163" s="339"/>
      <c r="R163" s="368"/>
      <c r="S163" s="343"/>
      <c r="T163" s="356"/>
      <c r="U163" s="31"/>
      <c r="V163" s="31"/>
      <c r="W163" s="31"/>
      <c r="X163" s="31"/>
      <c r="Y163" s="31"/>
    </row>
    <row r="164" spans="1:25" ht="16.5" hidden="1" thickBot="1">
      <c r="A164" s="31"/>
      <c r="B164" s="322">
        <v>244</v>
      </c>
      <c r="C164" s="265">
        <v>0</v>
      </c>
      <c r="D164" s="323" t="s">
        <v>550</v>
      </c>
      <c r="E164" s="368" t="s">
        <v>569</v>
      </c>
      <c r="G164" s="343"/>
      <c r="H164" s="368" t="s">
        <v>569</v>
      </c>
      <c r="I164" s="368"/>
      <c r="J164" s="343"/>
      <c r="K164" s="339">
        <f>24000*$C164</f>
        <v>0</v>
      </c>
      <c r="L164" s="368"/>
      <c r="M164" s="343"/>
      <c r="N164" s="339"/>
      <c r="O164" s="368"/>
      <c r="P164" s="343"/>
      <c r="Q164" s="339"/>
      <c r="R164" s="368"/>
      <c r="S164" s="343"/>
      <c r="T164" s="356"/>
      <c r="U164" s="31"/>
      <c r="V164" s="31"/>
      <c r="W164" s="31"/>
      <c r="X164" s="31"/>
      <c r="Y164" s="31"/>
    </row>
    <row r="165" spans="1:25" ht="16.5" hidden="1" thickBot="1">
      <c r="A165" s="31"/>
      <c r="B165" s="836">
        <v>284</v>
      </c>
      <c r="C165" s="265">
        <f>C95</f>
        <v>1</v>
      </c>
      <c r="D165" s="902" t="s">
        <v>567</v>
      </c>
      <c r="E165" s="267">
        <f>IF(puntosproljor&lt;600,IF(G165&lt;0,0,G165),IF(1221831-(E160+E161+E162+F173)&lt;0,0,1221831-(E160+E161+E162+E163+#REF!+F173)))*$C165</f>
        <v>70854.655157125322</v>
      </c>
      <c r="F165" s="325"/>
      <c r="G165" s="370">
        <f>IF(punbascar&lt;913,807033-(E160+E161+E162+F173),910805-(E160+E161+E162+F173))</f>
        <v>70854.655157125322</v>
      </c>
      <c r="H165" s="267">
        <f>IF(puntosproljor&lt;600,IF(J165&lt;0,0,J165),IF(1129327-(H160+H161+H162+I173)&lt;0,0,1129327-(H160+H161+H162+I173)))*$C165</f>
        <v>33407.753775000107</v>
      </c>
      <c r="I165" s="325"/>
      <c r="J165" s="370">
        <f>IF(punbascar&lt;913,753361-(H160+H161+H162+I173),850000-(H160+H161+H162+I173))</f>
        <v>33407.753775000107</v>
      </c>
      <c r="K165" s="267">
        <f>IF(puntosproljor&lt;600,IF(M165&lt;0,0,M165),IF(1031341-(K160+K161+K162+K163+K164+L173)&lt;0,0,1031341-(K160+K161+K162+K163+K164+L173)))*$C165</f>
        <v>67237.895000000019</v>
      </c>
      <c r="L165" s="325"/>
      <c r="M165" s="370">
        <f>IF(punbascar&lt;913,687996-(K160+K161+K162+K163+K164+L173),776250-(K160+K161+K162+K163+K164+L173))</f>
        <v>67237.895000000019</v>
      </c>
      <c r="N165" s="267">
        <f>IF(puntosproljor&lt;600,IF(P165&lt;60000,60000,P165),IF(996465-(N160+N161+N162+O173)&lt;60000,60000,996465-(N160+N161+N162+O173)))*$C165</f>
        <v>62793</v>
      </c>
      <c r="O165" s="325"/>
      <c r="P165" s="370">
        <f>IF(punbascar&lt;913,664730-(N160+N161+N162+O173),750000-(N160+N161+N162+O173))</f>
        <v>62793</v>
      </c>
      <c r="Q165" s="267"/>
      <c r="R165" s="325"/>
      <c r="S165" s="370"/>
      <c r="T165" s="356"/>
      <c r="U165" s="31"/>
      <c r="V165" s="31"/>
      <c r="W165" s="31"/>
      <c r="X165" s="31"/>
      <c r="Y165" s="31"/>
    </row>
    <row r="166" spans="1:25" ht="16.5" hidden="1" thickBot="1">
      <c r="A166" s="31"/>
      <c r="B166" s="327"/>
      <c r="C166" s="365"/>
      <c r="D166" s="371" t="s">
        <v>490</v>
      </c>
      <c r="E166" s="366">
        <f>SUM(E160:E165)</f>
        <v>1105626.9434172211</v>
      </c>
      <c r="F166" s="325"/>
      <c r="G166" s="372"/>
      <c r="H166" s="366">
        <f>SUM(H160:H165)</f>
        <v>1038233.7617557691</v>
      </c>
      <c r="I166" s="325"/>
      <c r="J166" s="372"/>
      <c r="K166" s="366">
        <f>SUM(K160:K165)</f>
        <v>958118.36884615384</v>
      </c>
      <c r="L166" s="325"/>
      <c r="M166" s="372"/>
      <c r="N166" s="366">
        <f>SUM(N160:N165)</f>
        <v>925718.23076923075</v>
      </c>
      <c r="O166" s="325"/>
      <c r="P166" s="372"/>
      <c r="Q166" s="366">
        <f>SUM(Q160:Q165)</f>
        <v>862925.23076923075</v>
      </c>
      <c r="R166" s="325"/>
      <c r="S166" s="372"/>
      <c r="T166" s="299"/>
      <c r="U166" s="31"/>
      <c r="V166" s="31"/>
      <c r="W166" s="31"/>
      <c r="X166" s="31"/>
      <c r="Y166" s="31"/>
    </row>
    <row r="167" spans="1:25" ht="15.75" hidden="1" thickBot="1">
      <c r="A167" s="31"/>
      <c r="B167" s="322">
        <v>440</v>
      </c>
      <c r="C167" s="321"/>
      <c r="D167" s="323" t="s">
        <v>491</v>
      </c>
      <c r="E167" s="364">
        <f>E97</f>
        <v>0</v>
      </c>
      <c r="F167" s="361">
        <f t="shared" ref="F167" si="76">-E167</f>
        <v>0</v>
      </c>
      <c r="G167" s="370"/>
      <c r="H167" s="364">
        <f>H97</f>
        <v>0</v>
      </c>
      <c r="I167" s="361">
        <f t="shared" ref="I167" si="77">-H167</f>
        <v>0</v>
      </c>
      <c r="J167" s="370"/>
      <c r="K167" s="364">
        <f>K97</f>
        <v>0</v>
      </c>
      <c r="L167" s="361">
        <f t="shared" ref="L167" si="78">-K167</f>
        <v>0</v>
      </c>
      <c r="M167" s="370"/>
      <c r="N167" s="364">
        <f>N97</f>
        <v>0</v>
      </c>
      <c r="O167" s="361">
        <f t="shared" ref="O167" si="79">-N167</f>
        <v>0</v>
      </c>
      <c r="P167" s="370"/>
      <c r="Q167" s="364">
        <f>Q97</f>
        <v>0</v>
      </c>
      <c r="R167" s="361">
        <f t="shared" ref="R167" si="80">-Q167</f>
        <v>0</v>
      </c>
      <c r="S167" s="370"/>
      <c r="T167" s="71"/>
      <c r="U167" s="362"/>
      <c r="V167" s="31"/>
      <c r="W167" s="31"/>
      <c r="X167" s="31"/>
      <c r="Y167" s="31"/>
    </row>
    <row r="168" spans="1:25" ht="15.75" hidden="1" thickBot="1">
      <c r="A168" s="31"/>
      <c r="B168" s="327">
        <v>502</v>
      </c>
      <c r="C168" s="373">
        <v>0.19</v>
      </c>
      <c r="D168" s="330" t="s">
        <v>493</v>
      </c>
      <c r="E168" s="374"/>
      <c r="F168" s="375">
        <f>-totalremsep26*0.19-0.19*1.07*E154</f>
        <v>-168255.31476941818</v>
      </c>
      <c r="G168" s="370"/>
      <c r="H168" s="374"/>
      <c r="I168" s="375">
        <f>-totalremjul26*0.19-0.19*1.07*H154</f>
        <v>-162565.52151634614</v>
      </c>
      <c r="J168" s="370"/>
      <c r="K168" s="374"/>
      <c r="L168" s="375">
        <f>-totalremmay26*0.19-0.19*1.07*K154</f>
        <v>-157068.13673076921</v>
      </c>
      <c r="M168" s="370"/>
      <c r="N168" s="374"/>
      <c r="O168" s="375">
        <f>-totalremdic25*0.19-0.19*1.07*N154</f>
        <v>-151756.65384615384</v>
      </c>
      <c r="P168" s="370"/>
      <c r="Q168" s="374"/>
      <c r="R168" s="375">
        <f>-totalremdic25*0.19-0.19*1.07*Q154</f>
        <v>-151756.65384615384</v>
      </c>
      <c r="S168" s="370"/>
      <c r="T168" s="376"/>
      <c r="U168" s="377"/>
      <c r="V168" s="31"/>
      <c r="W168" s="31"/>
      <c r="X168" s="31"/>
      <c r="Y168" s="31"/>
    </row>
    <row r="169" spans="1:25" ht="15.75" hidden="1" thickBot="1">
      <c r="A169" s="31"/>
      <c r="B169" s="327">
        <v>505</v>
      </c>
      <c r="C169" s="373">
        <v>0.03</v>
      </c>
      <c r="D169" s="330" t="s">
        <v>494</v>
      </c>
      <c r="E169" s="374"/>
      <c r="F169" s="375">
        <f>-totalremsep26*poros-poros*1.07*E154</f>
        <v>-26566.628647802874</v>
      </c>
      <c r="G169" s="370"/>
      <c r="H169" s="374"/>
      <c r="I169" s="375">
        <f>-totalremjul26*poros-poros*1.07*H154</f>
        <v>-25668.24023942307</v>
      </c>
      <c r="J169" s="370"/>
      <c r="K169" s="374"/>
      <c r="L169" s="375">
        <f>-totalremmay26*poros-poros*1.07*K154</f>
        <v>-24800.232115384613</v>
      </c>
      <c r="M169" s="370"/>
      <c r="N169" s="374"/>
      <c r="O169" s="375">
        <f>-totalremdic25*poros-poros*1.07*N154</f>
        <v>-23961.576923076922</v>
      </c>
      <c r="P169" s="370"/>
      <c r="Q169" s="374"/>
      <c r="R169" s="375">
        <f>-totalremdic25*poros-poros*1.07*Q154</f>
        <v>-23961.576923076922</v>
      </c>
      <c r="S169" s="370"/>
      <c r="T169" s="376"/>
      <c r="U169" s="377"/>
      <c r="V169" s="31"/>
      <c r="W169" s="31"/>
      <c r="X169" s="31"/>
      <c r="Y169" s="31"/>
    </row>
    <row r="170" spans="1:25" ht="15.75" hidden="1" thickBot="1">
      <c r="A170" s="31"/>
      <c r="B170" s="322">
        <v>510</v>
      </c>
      <c r="C170" s="323"/>
      <c r="D170" s="325" t="s">
        <v>495</v>
      </c>
      <c r="E170" s="364">
        <f>E100</f>
        <v>0</v>
      </c>
      <c r="F170" s="361">
        <f t="shared" ref="F170" si="81">-E170</f>
        <v>0</v>
      </c>
      <c r="G170" s="370"/>
      <c r="H170" s="364">
        <f>H100</f>
        <v>0</v>
      </c>
      <c r="I170" s="361">
        <f t="shared" ref="I170" si="82">-H170</f>
        <v>0</v>
      </c>
      <c r="J170" s="370"/>
      <c r="K170" s="364">
        <f>K100</f>
        <v>0</v>
      </c>
      <c r="L170" s="361">
        <f t="shared" ref="L170" si="83">-K170</f>
        <v>0</v>
      </c>
      <c r="M170" s="370"/>
      <c r="N170" s="364">
        <f>N100</f>
        <v>0</v>
      </c>
      <c r="O170" s="361">
        <f t="shared" ref="O170" si="84">-N170</f>
        <v>0</v>
      </c>
      <c r="P170" s="370"/>
      <c r="Q170" s="364">
        <f>Q100</f>
        <v>0</v>
      </c>
      <c r="R170" s="361">
        <f t="shared" ref="R170" si="85">-Q170</f>
        <v>0</v>
      </c>
      <c r="S170" s="370"/>
      <c r="T170" s="71"/>
      <c r="U170" s="377"/>
      <c r="V170" s="31"/>
      <c r="W170" s="31"/>
      <c r="X170" s="31"/>
      <c r="Y170" s="31"/>
    </row>
    <row r="171" spans="1:25" ht="16.5" hidden="1" thickBot="1">
      <c r="A171" s="31"/>
      <c r="B171" s="327">
        <v>332</v>
      </c>
      <c r="C171" s="351">
        <f>C101</f>
        <v>0</v>
      </c>
      <c r="D171" s="330" t="s">
        <v>496</v>
      </c>
      <c r="E171" s="378"/>
      <c r="F171" s="375">
        <f>-totalremsep26*$C171-E154*$C171-(E161+E162)*$C171</f>
        <v>0</v>
      </c>
      <c r="G171" s="370"/>
      <c r="H171" s="378"/>
      <c r="I171" s="375">
        <f>-totalremjul26*$C171-H154*$C171-(H161+H162)*$C171</f>
        <v>0</v>
      </c>
      <c r="J171" s="370"/>
      <c r="K171" s="378"/>
      <c r="L171" s="375">
        <f>-totalremmay26*$C171-K154*$C171-(K161+K162)*$C171</f>
        <v>0</v>
      </c>
      <c r="M171" s="370"/>
      <c r="N171" s="378"/>
      <c r="O171" s="375">
        <f>-totalremdic25*$C171-N154*$C171-(N161+N162)*$C171</f>
        <v>0</v>
      </c>
      <c r="P171" s="370"/>
      <c r="Q171" s="378"/>
      <c r="R171" s="375">
        <f>-totalremdic25*$C171-Q154*$C171-(Q161+Q162)*$C171</f>
        <v>0</v>
      </c>
      <c r="S171" s="370"/>
      <c r="T171" s="376"/>
      <c r="U171" s="377"/>
      <c r="V171" s="31"/>
      <c r="W171" s="31"/>
      <c r="X171" s="31"/>
      <c r="Y171" s="31"/>
    </row>
    <row r="172" spans="1:25" ht="16.5" hidden="1" thickBot="1">
      <c r="A172" s="31"/>
      <c r="B172" s="379"/>
      <c r="C172" s="351"/>
      <c r="D172" s="323" t="s">
        <v>497</v>
      </c>
      <c r="E172" s="380">
        <f>E102</f>
        <v>0</v>
      </c>
      <c r="F172" s="361">
        <f t="shared" ref="F172" si="86">-E172</f>
        <v>0</v>
      </c>
      <c r="G172" s="370"/>
      <c r="H172" s="380">
        <f>H102</f>
        <v>0</v>
      </c>
      <c r="I172" s="361">
        <f t="shared" ref="I172" si="87">-H172</f>
        <v>0</v>
      </c>
      <c r="J172" s="370"/>
      <c r="K172" s="380">
        <f>K102</f>
        <v>0</v>
      </c>
      <c r="L172" s="361">
        <f t="shared" ref="L172" si="88">-K172</f>
        <v>0</v>
      </c>
      <c r="M172" s="370"/>
      <c r="N172" s="380">
        <f>N102</f>
        <v>0</v>
      </c>
      <c r="O172" s="361">
        <f t="shared" ref="O172" si="89">-N172</f>
        <v>0</v>
      </c>
      <c r="P172" s="370"/>
      <c r="Q172" s="380">
        <f>Q102</f>
        <v>0</v>
      </c>
      <c r="R172" s="361">
        <f t="shared" ref="R172" si="90">-Q172</f>
        <v>0</v>
      </c>
      <c r="S172" s="370"/>
      <c r="T172" s="71"/>
      <c r="U172" s="377"/>
      <c r="V172" s="31"/>
      <c r="W172" s="31"/>
      <c r="X172" s="31"/>
      <c r="Y172" s="31"/>
    </row>
    <row r="173" spans="1:25" ht="16.5" hidden="1" thickBot="1">
      <c r="A173" s="31"/>
      <c r="B173" s="363"/>
      <c r="C173" s="365"/>
      <c r="D173" s="371" t="s">
        <v>498</v>
      </c>
      <c r="E173" s="328"/>
      <c r="F173" s="381">
        <f>SUM(F167:F172)</f>
        <v>-194821.94341722105</v>
      </c>
      <c r="G173" s="372"/>
      <c r="H173" s="328"/>
      <c r="I173" s="381">
        <f>SUM(I167:I172)</f>
        <v>-188233.7617557692</v>
      </c>
      <c r="J173" s="372"/>
      <c r="K173" s="328"/>
      <c r="L173" s="381">
        <f>SUM(L167:L172)</f>
        <v>-181868.36884615384</v>
      </c>
      <c r="M173" s="372"/>
      <c r="N173" s="328"/>
      <c r="O173" s="381">
        <f>SUM(O167:O172)</f>
        <v>-175718.23076923075</v>
      </c>
      <c r="P173" s="372"/>
      <c r="Q173" s="328"/>
      <c r="R173" s="381">
        <f>SUM(R167:R172)</f>
        <v>-175718.23076923075</v>
      </c>
      <c r="S173" s="372"/>
      <c r="T173" s="382"/>
      <c r="U173" s="332"/>
      <c r="V173" s="31"/>
      <c r="W173" s="31"/>
      <c r="X173" s="31"/>
      <c r="Y173" s="31"/>
    </row>
    <row r="174" spans="1:25" ht="15.75" hidden="1" thickBot="1">
      <c r="A174" s="31"/>
      <c r="B174" s="379"/>
      <c r="C174" s="323"/>
      <c r="D174" s="361"/>
      <c r="E174" s="323"/>
      <c r="F174" s="323"/>
      <c r="G174" s="383"/>
      <c r="H174" s="323"/>
      <c r="I174" s="323"/>
      <c r="J174" s="383"/>
      <c r="K174" s="323"/>
      <c r="L174" s="323"/>
      <c r="M174" s="383"/>
      <c r="N174" s="323"/>
      <c r="O174" s="323"/>
      <c r="P174" s="383"/>
      <c r="Q174" s="323"/>
      <c r="R174" s="323"/>
      <c r="S174" s="383"/>
      <c r="T174" s="31"/>
      <c r="U174" s="31"/>
      <c r="V174" s="31"/>
      <c r="W174" s="31"/>
      <c r="X174" s="31"/>
      <c r="Y174" s="31"/>
    </row>
    <row r="175" spans="1:25" ht="24" hidden="1" thickBot="1">
      <c r="A175" s="31"/>
      <c r="B175" s="379"/>
      <c r="C175" s="323"/>
      <c r="D175" s="323"/>
      <c r="E175" s="384" t="s">
        <v>502</v>
      </c>
      <c r="F175" s="385">
        <f>E166+F173</f>
        <v>910805</v>
      </c>
      <c r="G175" s="370"/>
      <c r="H175" s="384" t="s">
        <v>502</v>
      </c>
      <c r="I175" s="385">
        <f>H166+I173</f>
        <v>850000</v>
      </c>
      <c r="J175" s="370"/>
      <c r="K175" s="384" t="s">
        <v>502</v>
      </c>
      <c r="L175" s="385">
        <f>K166+L173</f>
        <v>776250</v>
      </c>
      <c r="M175" s="370"/>
      <c r="N175" s="384" t="s">
        <v>502</v>
      </c>
      <c r="O175" s="385">
        <f>N166+O173</f>
        <v>750000</v>
      </c>
      <c r="P175" s="370"/>
      <c r="Q175" s="384" t="s">
        <v>502</v>
      </c>
      <c r="R175" s="385">
        <f>Q166+R173</f>
        <v>687207</v>
      </c>
      <c r="S175" s="370"/>
      <c r="T175" s="386"/>
      <c r="U175" s="31"/>
      <c r="V175" s="31"/>
      <c r="W175" s="31"/>
      <c r="X175" s="31"/>
      <c r="Y175" s="31"/>
    </row>
    <row r="176" spans="1:25" ht="24" hidden="1" thickBot="1">
      <c r="A176" s="31"/>
      <c r="B176" s="379"/>
      <c r="C176" s="323"/>
      <c r="D176" s="323"/>
      <c r="E176" s="384"/>
      <c r="F176" s="387"/>
      <c r="G176" s="370"/>
      <c r="H176" s="384"/>
      <c r="I176" s="387"/>
      <c r="J176" s="370"/>
      <c r="K176" s="384"/>
      <c r="L176" s="387"/>
      <c r="M176" s="370"/>
      <c r="N176" s="384"/>
      <c r="O176" s="387"/>
      <c r="P176" s="370"/>
      <c r="Q176" s="384"/>
      <c r="R176" s="387">
        <f>R175+60000</f>
        <v>747207</v>
      </c>
      <c r="S176" s="370"/>
      <c r="T176" s="386"/>
      <c r="U176" s="31"/>
      <c r="V176" s="31"/>
      <c r="W176" s="31"/>
      <c r="X176" s="31"/>
      <c r="Y176" s="31"/>
    </row>
    <row r="177" spans="1:25" ht="16.5" hidden="1" thickBot="1">
      <c r="A177" s="31"/>
      <c r="B177" s="379"/>
      <c r="C177" s="384"/>
      <c r="D177" s="384"/>
      <c r="E177" s="388"/>
      <c r="F177" s="361"/>
      <c r="G177" s="372"/>
      <c r="H177" s="388"/>
      <c r="I177" s="361"/>
      <c r="J177" s="372"/>
      <c r="K177" s="388"/>
      <c r="L177" s="361"/>
      <c r="M177" s="372"/>
      <c r="N177" s="388"/>
      <c r="O177" s="361"/>
      <c r="P177" s="372"/>
      <c r="Q177" s="388"/>
      <c r="R177" s="361"/>
      <c r="S177" s="372"/>
      <c r="T177" s="31"/>
      <c r="U177" s="31"/>
      <c r="V177" s="31"/>
      <c r="W177" s="31"/>
      <c r="X177" s="31"/>
      <c r="Y177" s="31"/>
    </row>
    <row r="178" spans="1:25" ht="16.5" hidden="1" thickBot="1">
      <c r="A178" s="31"/>
      <c r="B178" s="379"/>
      <c r="C178" s="384"/>
      <c r="D178" s="384"/>
      <c r="E178" s="323" t="s">
        <v>503</v>
      </c>
      <c r="F178" s="323"/>
      <c r="G178" s="372"/>
      <c r="H178" s="323" t="s">
        <v>503</v>
      </c>
      <c r="I178" s="323"/>
      <c r="J178" s="372"/>
      <c r="K178" s="323" t="s">
        <v>503</v>
      </c>
      <c r="L178" s="323"/>
      <c r="M178" s="372"/>
      <c r="N178" s="323" t="s">
        <v>503</v>
      </c>
      <c r="O178" s="323"/>
      <c r="P178" s="372"/>
      <c r="Q178" s="323" t="s">
        <v>503</v>
      </c>
      <c r="R178" s="323"/>
      <c r="S178" s="372"/>
      <c r="T178" s="31"/>
      <c r="U178" s="31"/>
      <c r="V178" s="31"/>
      <c r="W178" s="31"/>
      <c r="X178" s="31"/>
      <c r="Y178" s="31"/>
    </row>
    <row r="179" spans="1:25" ht="16.5" hidden="1" thickBot="1">
      <c r="A179" s="31"/>
      <c r="B179" s="379"/>
      <c r="C179" s="384"/>
      <c r="D179" s="384"/>
      <c r="E179" s="361">
        <f>E142+E143+E144+E145+E146+E147+E148+E151+E152+E153+F167+E155+E156+((E142+E143+E144+E145+E146+E147+E148+E151+E152+E153+F167+E155+E156)*0.07)</f>
        <v>701931.98227132123</v>
      </c>
      <c r="F179" s="323"/>
      <c r="G179" s="372"/>
      <c r="H179" s="361">
        <f>H142+H143+H144+H145+H146+H147+H148+H151+H152+H153+I167+H155+H156+((H142+H143+H144+H145+H146+H147+H148+H151+H152+H153+I167+H155+H156)*0.07)</f>
        <v>678195.15195296751</v>
      </c>
      <c r="I179" s="323"/>
      <c r="J179" s="372"/>
      <c r="K179" s="361">
        <f>K142+K143+K144+K145+K146+K147+K148+K151+K152+K153+L167+K155+K156+((K142+K143+K144+K145+K146+K147+K148+K151+K152+K153+L167+K155+K156)*0.07)</f>
        <v>658441.89509996853</v>
      </c>
      <c r="L179" s="323"/>
      <c r="M179" s="372"/>
      <c r="N179" s="361">
        <f>N142+N143+N144+N145+N146+N147+N148+N151+N152+N153+O167+N155+N156+((N142+N143+N144+N145+N146+N147+N148+N151+N152+N153+O167+N155+N156)*0.07)</f>
        <v>636175.66865979542</v>
      </c>
      <c r="O179" s="323"/>
      <c r="P179" s="372"/>
      <c r="Q179" s="361">
        <f>Q142+Q143+Q144+Q145+Q146+Q147+Q148+Q151+Q152+Q153+R167+Q155+Q156+((Q142+Q143+Q144+Q145+Q146+Q147+Q148+Q151+Q152+Q153+R167+Q155+Q156)*0.07)</f>
        <v>636175.66865979542</v>
      </c>
      <c r="R179" s="323"/>
      <c r="S179" s="372"/>
      <c r="T179" s="31"/>
      <c r="U179" s="31"/>
      <c r="V179" s="31"/>
      <c r="W179" s="31"/>
      <c r="X179" s="31"/>
      <c r="Y179" s="31"/>
    </row>
    <row r="180" spans="1:25" ht="16.5" hidden="1" thickBot="1">
      <c r="A180" s="31"/>
      <c r="B180" s="379"/>
      <c r="C180" s="384"/>
      <c r="D180" s="384"/>
      <c r="E180" s="361"/>
      <c r="F180" s="323"/>
      <c r="G180" s="372"/>
      <c r="H180" s="361"/>
      <c r="I180" s="323"/>
      <c r="J180" s="372"/>
      <c r="K180" s="361"/>
      <c r="L180" s="323"/>
      <c r="M180" s="372"/>
      <c r="N180" s="361"/>
      <c r="O180" s="323"/>
      <c r="P180" s="372"/>
      <c r="Q180" s="361"/>
      <c r="R180" s="323"/>
      <c r="S180" s="372"/>
      <c r="T180" s="31"/>
      <c r="U180" s="31"/>
      <c r="V180" s="31"/>
      <c r="W180" s="31"/>
      <c r="X180" s="31"/>
      <c r="Y180" s="31"/>
    </row>
    <row r="181" spans="1:25" ht="18.75" hidden="1" thickBot="1">
      <c r="A181" s="31"/>
      <c r="B181" s="379"/>
      <c r="C181" s="384"/>
      <c r="D181" s="384"/>
      <c r="E181" s="389" t="s">
        <v>504</v>
      </c>
      <c r="F181" s="390">
        <f>F175-I175</f>
        <v>60805</v>
      </c>
      <c r="G181" s="372"/>
      <c r="H181" s="389" t="s">
        <v>504</v>
      </c>
      <c r="I181" s="390">
        <f>I175-L175</f>
        <v>73750</v>
      </c>
      <c r="J181" s="372"/>
      <c r="K181" s="389" t="s">
        <v>504</v>
      </c>
      <c r="L181" s="390">
        <f>L175-O175</f>
        <v>26250</v>
      </c>
      <c r="M181" s="372"/>
      <c r="N181" s="389" t="s">
        <v>504</v>
      </c>
      <c r="O181" s="390">
        <f>O175-R175</f>
        <v>62793</v>
      </c>
      <c r="P181" s="372"/>
      <c r="Q181" s="389" t="s">
        <v>504</v>
      </c>
      <c r="R181" s="390"/>
      <c r="S181" s="372"/>
      <c r="T181" s="391"/>
      <c r="U181" s="31"/>
      <c r="V181" s="31"/>
      <c r="W181" s="31"/>
      <c r="X181" s="31"/>
      <c r="Y181" s="31"/>
    </row>
    <row r="182" spans="1:25" ht="18.75" hidden="1" thickBot="1">
      <c r="A182" s="31"/>
      <c r="B182" s="323"/>
      <c r="C182" s="323"/>
      <c r="D182" s="323"/>
      <c r="E182" s="389" t="s">
        <v>505</v>
      </c>
      <c r="F182" s="392">
        <f>F181/I175</f>
        <v>7.1535294117647058E-2</v>
      </c>
      <c r="G182" s="370"/>
      <c r="H182" s="389" t="s">
        <v>505</v>
      </c>
      <c r="I182" s="392">
        <f>I181/L175</f>
        <v>9.5008051529790666E-2</v>
      </c>
      <c r="J182" s="370"/>
      <c r="K182" s="389" t="s">
        <v>505</v>
      </c>
      <c r="L182" s="392">
        <f>L181/O175</f>
        <v>3.5000000000000003E-2</v>
      </c>
      <c r="M182" s="370"/>
      <c r="N182" s="389" t="s">
        <v>505</v>
      </c>
      <c r="O182" s="392">
        <f>O181/R175</f>
        <v>9.1374214756252486E-2</v>
      </c>
      <c r="P182" s="370"/>
      <c r="Q182" s="389" t="s">
        <v>505</v>
      </c>
      <c r="R182" s="392"/>
      <c r="S182" s="370"/>
      <c r="T182" s="393"/>
      <c r="U182" s="394"/>
      <c r="V182" s="31"/>
      <c r="W182" s="31"/>
      <c r="X182" s="31"/>
      <c r="Y182" s="31"/>
    </row>
    <row r="183" spans="1:25" ht="18.75" hidden="1" thickBot="1">
      <c r="A183" s="31"/>
      <c r="B183" s="323"/>
      <c r="C183" s="323"/>
      <c r="D183" s="323"/>
      <c r="E183" s="395"/>
      <c r="F183" s="396"/>
      <c r="G183" s="323"/>
      <c r="H183" s="395"/>
      <c r="I183" s="396"/>
      <c r="J183" s="323"/>
      <c r="K183" s="395"/>
      <c r="L183" s="396"/>
      <c r="M183" s="323"/>
      <c r="N183" s="395"/>
      <c r="O183" s="396"/>
      <c r="P183" s="323"/>
      <c r="Q183" s="395"/>
      <c r="R183" s="396"/>
      <c r="S183" s="323"/>
      <c r="T183" s="393"/>
      <c r="U183" s="394"/>
      <c r="V183" s="31"/>
      <c r="W183" s="31"/>
      <c r="X183" s="31"/>
      <c r="Y183" s="31"/>
    </row>
    <row r="184" spans="1:25" ht="18.75" hidden="1" thickBot="1">
      <c r="A184" s="31"/>
      <c r="B184" s="323"/>
      <c r="C184" s="323"/>
      <c r="D184" s="323"/>
      <c r="E184" s="296" t="s">
        <v>499</v>
      </c>
      <c r="F184" s="397">
        <f>(F175-E161-E162-E165)-(I175-H161-H162-H165)</f>
        <v>23358.098617874784</v>
      </c>
      <c r="G184" s="323"/>
      <c r="H184" s="296" t="s">
        <v>499</v>
      </c>
      <c r="I184" s="397">
        <f>(I175-H161-H162-H165)-(L175-K161-K162-K165)</f>
        <v>22568.211224999977</v>
      </c>
      <c r="J184" s="323"/>
      <c r="K184" s="296" t="s">
        <v>499</v>
      </c>
      <c r="L184" s="397">
        <f>(L175-K161-K162-K163-K164-K165)-(O175-N161-N162-N165)</f>
        <v>21805.034999999916</v>
      </c>
      <c r="M184" s="323"/>
      <c r="N184" s="296" t="s">
        <v>499</v>
      </c>
      <c r="O184" s="397">
        <f>(O175-N161-N162-N163-N164-N165)-(R175-Q161-Q162-Q165)</f>
        <v>0</v>
      </c>
      <c r="P184" s="323"/>
      <c r="Q184" s="296" t="s">
        <v>499</v>
      </c>
      <c r="R184" s="397"/>
      <c r="S184" s="323"/>
      <c r="T184" s="393"/>
      <c r="U184" s="394"/>
      <c r="V184" s="31"/>
      <c r="W184" s="31"/>
      <c r="X184" s="31"/>
      <c r="Y184" s="31"/>
    </row>
    <row r="185" spans="1:25" ht="18.75" hidden="1" thickBot="1">
      <c r="A185" s="31"/>
      <c r="B185" s="323"/>
      <c r="C185" s="323"/>
      <c r="D185" s="323"/>
      <c r="E185" s="296" t="s">
        <v>506</v>
      </c>
      <c r="F185" s="398">
        <f>F184/(I175-H161-H162-H165)</f>
        <v>3.4999999999999684E-2</v>
      </c>
      <c r="G185" s="323"/>
      <c r="H185" s="296" t="s">
        <v>506</v>
      </c>
      <c r="I185" s="398">
        <f>I184/(L175-K161-K162-K165)</f>
        <v>3.4999999999999969E-2</v>
      </c>
      <c r="J185" s="323"/>
      <c r="K185" s="296" t="s">
        <v>506</v>
      </c>
      <c r="L185" s="398">
        <f>L184/(O175-N161-N162-N163-N164-N165)</f>
        <v>3.4999999999999865E-2</v>
      </c>
      <c r="M185" s="323"/>
      <c r="N185" s="296" t="s">
        <v>506</v>
      </c>
      <c r="O185" s="398">
        <f>O184/(R175-Q161-Q162-Q165)</f>
        <v>0</v>
      </c>
      <c r="P185" s="323"/>
      <c r="Q185" s="296" t="s">
        <v>506</v>
      </c>
      <c r="R185" s="398"/>
      <c r="S185" s="323"/>
      <c r="T185" s="393"/>
      <c r="U185" s="394"/>
      <c r="V185" s="31"/>
      <c r="W185" s="31"/>
      <c r="X185" s="31"/>
      <c r="Y185" s="31"/>
    </row>
    <row r="186" spans="1:25" ht="16.5" hidden="1" thickBot="1">
      <c r="A186" s="31"/>
      <c r="B186" s="379"/>
      <c r="C186" s="384"/>
      <c r="D186" s="384"/>
      <c r="E186" s="323"/>
      <c r="F186" s="323"/>
      <c r="G186" s="372"/>
      <c r="H186" s="323"/>
      <c r="I186" s="323"/>
      <c r="J186" s="372"/>
      <c r="K186" s="323"/>
      <c r="L186" s="323"/>
      <c r="M186" s="372"/>
      <c r="N186" s="323"/>
      <c r="O186" s="323"/>
      <c r="P186" s="372"/>
      <c r="Q186" s="323"/>
      <c r="R186" s="323"/>
      <c r="S186" s="372"/>
      <c r="T186" s="31"/>
      <c r="U186" s="399"/>
      <c r="V186" s="31"/>
      <c r="W186" s="31"/>
      <c r="X186" s="31"/>
      <c r="Y186" s="31"/>
    </row>
    <row r="187" spans="1:25" ht="18.75" hidden="1" thickBot="1">
      <c r="A187" s="31"/>
      <c r="B187" s="379"/>
      <c r="C187" s="384"/>
      <c r="D187" s="384"/>
      <c r="E187" s="400" t="s">
        <v>452</v>
      </c>
      <c r="F187" s="401">
        <f>F175-$R175</f>
        <v>223598</v>
      </c>
      <c r="G187" s="372"/>
      <c r="H187" s="400" t="s">
        <v>452</v>
      </c>
      <c r="I187" s="401">
        <f>I175-$R175</f>
        <v>162793</v>
      </c>
      <c r="J187" s="372"/>
      <c r="K187" s="400" t="s">
        <v>452</v>
      </c>
      <c r="L187" s="401">
        <f>L175-$R175</f>
        <v>89043</v>
      </c>
      <c r="M187" s="372"/>
      <c r="N187" s="400" t="s">
        <v>452</v>
      </c>
      <c r="O187" s="401">
        <f>O175-$R175</f>
        <v>62793</v>
      </c>
      <c r="P187" s="372"/>
      <c r="Q187" s="400" t="s">
        <v>452</v>
      </c>
      <c r="R187" s="401"/>
      <c r="S187" s="372"/>
      <c r="T187" s="31"/>
      <c r="U187" s="31"/>
      <c r="V187" s="31"/>
      <c r="W187" s="31"/>
      <c r="X187" s="31"/>
      <c r="Y187" s="31"/>
    </row>
    <row r="188" spans="1:25" ht="18.75" hidden="1" thickBot="1">
      <c r="A188" s="31"/>
      <c r="B188" s="379"/>
      <c r="C188" s="384"/>
      <c r="D188" s="384"/>
      <c r="E188" s="400" t="s">
        <v>507</v>
      </c>
      <c r="F188" s="402">
        <f>F187/$R175</f>
        <v>0.32537212222809136</v>
      </c>
      <c r="G188" s="372"/>
      <c r="H188" s="400" t="s">
        <v>507</v>
      </c>
      <c r="I188" s="402">
        <f>I187/$R175</f>
        <v>0.23689077672375281</v>
      </c>
      <c r="J188" s="372"/>
      <c r="K188" s="400" t="s">
        <v>507</v>
      </c>
      <c r="L188" s="402">
        <f>L187/$R175</f>
        <v>0.12957231227272131</v>
      </c>
      <c r="M188" s="372"/>
      <c r="N188" s="400" t="s">
        <v>507</v>
      </c>
      <c r="O188" s="402">
        <f>O187/$R175</f>
        <v>9.1374214756252486E-2</v>
      </c>
      <c r="P188" s="372"/>
      <c r="Q188" s="400" t="s">
        <v>507</v>
      </c>
      <c r="R188" s="402"/>
      <c r="S188" s="372"/>
      <c r="T188" s="31"/>
      <c r="U188" s="31"/>
      <c r="V188" s="31"/>
      <c r="W188" s="31"/>
      <c r="X188" s="31"/>
      <c r="Y188" s="31"/>
    </row>
    <row r="189" spans="1:25" ht="16.5" hidden="1" thickBot="1">
      <c r="A189" s="31"/>
      <c r="B189" s="379"/>
      <c r="C189" s="384"/>
      <c r="D189" s="384"/>
      <c r="E189" s="323"/>
      <c r="F189" s="323"/>
      <c r="G189" s="372"/>
      <c r="H189" s="323"/>
      <c r="I189" s="323"/>
      <c r="J189" s="372"/>
      <c r="K189" s="323"/>
      <c r="L189" s="323"/>
      <c r="M189" s="372"/>
      <c r="N189" s="323"/>
      <c r="O189" s="323"/>
      <c r="P189" s="372"/>
      <c r="Q189" s="323"/>
      <c r="R189" s="323"/>
      <c r="S189" s="372"/>
      <c r="T189" s="31"/>
      <c r="U189" s="31"/>
      <c r="V189" s="31"/>
      <c r="W189" s="31"/>
      <c r="X189" s="31"/>
      <c r="Y189" s="31"/>
    </row>
    <row r="190" spans="1:25" ht="18.75" hidden="1" thickBot="1">
      <c r="A190" s="31"/>
      <c r="B190" s="379"/>
      <c r="C190" s="384"/>
      <c r="D190" s="384"/>
      <c r="E190" s="304" t="s">
        <v>508</v>
      </c>
      <c r="F190" s="401">
        <f>(F175-E161-E162-E165)-($R175-$Q161-$Q162-$Q165)</f>
        <v>67731.344842874678</v>
      </c>
      <c r="G190" s="372"/>
      <c r="H190" s="304" t="s">
        <v>508</v>
      </c>
      <c r="I190" s="401">
        <f>(I175-H161-H162-H165)-($R175-$Q161-$Q162-$Q165)</f>
        <v>44373.246224999893</v>
      </c>
      <c r="J190" s="372"/>
      <c r="K190" s="304" t="s">
        <v>508</v>
      </c>
      <c r="L190" s="401">
        <f>(L175-K161-K162-K163-K164-K165)-($R175-$Q161-$Q162-$Q165)</f>
        <v>21805.034999999916</v>
      </c>
      <c r="M190" s="372"/>
      <c r="N190" s="304" t="s">
        <v>508</v>
      </c>
      <c r="O190" s="401">
        <f>(O175-N161-N162-N163-N164-N165)-($R175-$Q161-$Q162-$Q165)</f>
        <v>0</v>
      </c>
      <c r="P190" s="372"/>
      <c r="Q190" s="304" t="s">
        <v>508</v>
      </c>
      <c r="R190" s="401"/>
      <c r="S190" s="372"/>
      <c r="T190" s="31"/>
      <c r="U190" s="31"/>
      <c r="V190" s="31"/>
      <c r="W190" s="31"/>
      <c r="X190" s="31"/>
      <c r="Y190" s="31"/>
    </row>
    <row r="191" spans="1:25" ht="18.75" hidden="1" thickBot="1">
      <c r="A191" s="31"/>
      <c r="B191" s="379"/>
      <c r="C191" s="384"/>
      <c r="D191" s="384"/>
      <c r="E191" s="306" t="s">
        <v>500</v>
      </c>
      <c r="F191" s="403">
        <f>F190/($R175-$Q161-$Q162-$Q165)</f>
        <v>0.10871787499999948</v>
      </c>
      <c r="G191" s="372"/>
      <c r="H191" s="306" t="s">
        <v>500</v>
      </c>
      <c r="I191" s="403">
        <f>I190/($R175-$Q161-$Q162-$Q165)</f>
        <v>7.122499999999983E-2</v>
      </c>
      <c r="J191" s="372"/>
      <c r="K191" s="306" t="s">
        <v>500</v>
      </c>
      <c r="L191" s="403">
        <f>L190/($R175-$Q161-$Q162-$Q165)</f>
        <v>3.4999999999999865E-2</v>
      </c>
      <c r="M191" s="372"/>
      <c r="N191" s="306" t="s">
        <v>500</v>
      </c>
      <c r="O191" s="403">
        <f>O190/($R175-$Q161-$Q162-$Q165)</f>
        <v>0</v>
      </c>
      <c r="P191" s="372"/>
      <c r="Q191" s="306" t="s">
        <v>500</v>
      </c>
      <c r="R191" s="403"/>
      <c r="S191" s="372"/>
      <c r="T191" s="31"/>
      <c r="U191" s="31"/>
      <c r="V191" s="31"/>
      <c r="W191" s="31"/>
      <c r="X191" s="31"/>
      <c r="Y191" s="31"/>
    </row>
    <row r="192" spans="1:25" ht="16.5" hidden="1" thickBot="1">
      <c r="A192" s="31"/>
      <c r="B192" s="379"/>
      <c r="C192" s="384"/>
      <c r="D192" s="384"/>
      <c r="E192" s="323"/>
      <c r="F192" s="323"/>
      <c r="G192" s="372"/>
      <c r="H192" s="323"/>
      <c r="I192" s="323"/>
      <c r="J192" s="372"/>
      <c r="K192" s="323"/>
      <c r="L192" s="323"/>
      <c r="M192" s="372"/>
      <c r="N192" s="323"/>
      <c r="O192" s="323"/>
      <c r="P192" s="372"/>
      <c r="Q192" s="323"/>
      <c r="R192" s="323"/>
      <c r="S192" s="372"/>
      <c r="T192" s="31"/>
      <c r="U192" s="31"/>
      <c r="V192" s="31"/>
      <c r="W192" s="31"/>
      <c r="X192" s="31"/>
      <c r="Y192" s="31"/>
    </row>
    <row r="193" spans="1:28" ht="16.5" hidden="1" thickBot="1">
      <c r="A193" s="31"/>
      <c r="B193" s="379"/>
      <c r="C193" s="384"/>
      <c r="D193" s="384"/>
      <c r="E193" s="384" t="s">
        <v>509</v>
      </c>
      <c r="F193" s="388"/>
      <c r="G193" s="372"/>
      <c r="H193" s="384" t="s">
        <v>509</v>
      </c>
      <c r="I193" s="388"/>
      <c r="J193" s="372"/>
      <c r="K193" s="384" t="s">
        <v>509</v>
      </c>
      <c r="L193" s="388"/>
      <c r="M193" s="372"/>
      <c r="N193" s="384" t="s">
        <v>509</v>
      </c>
      <c r="O193" s="388"/>
      <c r="P193" s="372"/>
      <c r="Q193" s="384" t="s">
        <v>509</v>
      </c>
      <c r="R193" s="388"/>
      <c r="S193" s="372"/>
      <c r="T193" s="31"/>
      <c r="U193" s="31"/>
      <c r="V193" s="31"/>
      <c r="W193" s="31"/>
      <c r="X193" s="31"/>
      <c r="Y193" s="31"/>
    </row>
    <row r="194" spans="1:28" ht="16.5" hidden="1" thickBot="1">
      <c r="A194" s="31"/>
      <c r="B194" s="379"/>
      <c r="C194" s="384"/>
      <c r="D194" s="384"/>
      <c r="E194" s="321" t="s">
        <v>510</v>
      </c>
      <c r="F194" s="404">
        <f>(E142+E143+E144+E145+E146+E147+E148+E149+E150+E151+E152+E153+E154+E155+E156)*0.5</f>
        <v>442777.14413004788</v>
      </c>
      <c r="G194" s="372"/>
      <c r="H194" s="321" t="s">
        <v>510</v>
      </c>
      <c r="I194" s="404">
        <f>(H142+H143+H144+H145+H146+H147+H148+H149+H150+H151+H152+H153+H154+H155+H156)*0.5</f>
        <v>427804.00399038452</v>
      </c>
      <c r="J194" s="372"/>
      <c r="K194" s="321" t="s">
        <v>510</v>
      </c>
      <c r="L194" s="404">
        <f>(K142+K143+K144+K145+K146+K147+K148+K149+K150+K151+K152+K153+K154+K155+K156)*0.5</f>
        <v>413337.20192307688</v>
      </c>
      <c r="M194" s="372"/>
      <c r="N194" s="321" t="s">
        <v>510</v>
      </c>
      <c r="O194" s="404">
        <f>(N142+N143+N144+N145+N146+N147+N148+N149+N150+N151+N152+N153+N154+N155+N156)*0.5</f>
        <v>399359.61538461538</v>
      </c>
      <c r="P194" s="372"/>
      <c r="Q194" s="321" t="s">
        <v>510</v>
      </c>
      <c r="R194" s="404">
        <f>(Q142+Q143+Q144+Q145+Q146+Q147+Q148+Q149+Q150+Q151+Q152+Q153+Q154+Q155+Q156)*0.5</f>
        <v>399359.61538461538</v>
      </c>
      <c r="S194" s="372"/>
      <c r="T194" s="31"/>
      <c r="U194" s="31"/>
      <c r="V194" s="31"/>
      <c r="W194" s="31"/>
      <c r="X194" s="31"/>
      <c r="Y194" s="31"/>
    </row>
    <row r="195" spans="1:28" ht="16.5" hidden="1" thickBot="1">
      <c r="A195" s="31"/>
      <c r="B195" s="379"/>
      <c r="C195" s="384"/>
      <c r="D195" s="384"/>
      <c r="E195" s="321" t="s">
        <v>511</v>
      </c>
      <c r="F195" s="388"/>
      <c r="G195" s="372"/>
      <c r="H195" s="321" t="s">
        <v>511</v>
      </c>
      <c r="I195" s="388"/>
      <c r="J195" s="372"/>
      <c r="K195" s="321" t="s">
        <v>511</v>
      </c>
      <c r="L195" s="388"/>
      <c r="M195" s="372"/>
      <c r="N195" s="321" t="s">
        <v>511</v>
      </c>
      <c r="O195" s="388"/>
      <c r="P195" s="372"/>
      <c r="Q195" s="321" t="s">
        <v>511</v>
      </c>
      <c r="R195" s="388"/>
      <c r="S195" s="372"/>
      <c r="T195" s="31"/>
      <c r="U195" s="31"/>
      <c r="V195" s="31"/>
      <c r="W195" s="31"/>
      <c r="X195" s="31"/>
      <c r="Y195" s="31"/>
    </row>
    <row r="196" spans="1:28" ht="16.5" hidden="1" thickBot="1">
      <c r="A196" s="31"/>
      <c r="B196" s="379"/>
      <c r="C196" s="384"/>
      <c r="D196" s="384"/>
      <c r="E196" s="323" t="s">
        <v>512</v>
      </c>
      <c r="F196" s="323">
        <f>F194*0.78</f>
        <v>345366.17242143734</v>
      </c>
      <c r="G196" s="372"/>
      <c r="H196" s="323" t="s">
        <v>512</v>
      </c>
      <c r="I196" s="323">
        <f>I194*0.78</f>
        <v>333687.12311249995</v>
      </c>
      <c r="J196" s="372"/>
      <c r="K196" s="323" t="s">
        <v>512</v>
      </c>
      <c r="L196" s="323">
        <f>L194*0.78</f>
        <v>322403.01749999996</v>
      </c>
      <c r="M196" s="372"/>
      <c r="N196" s="323" t="s">
        <v>512</v>
      </c>
      <c r="O196" s="323">
        <f>O194*0.78</f>
        <v>311500.5</v>
      </c>
      <c r="P196" s="372"/>
      <c r="Q196" s="323" t="s">
        <v>512</v>
      </c>
      <c r="R196" s="323">
        <f>R194*0.78</f>
        <v>311500.5</v>
      </c>
      <c r="S196" s="372"/>
      <c r="T196" s="31"/>
      <c r="U196" s="31"/>
      <c r="V196" s="31"/>
      <c r="W196" s="31"/>
      <c r="X196" s="31"/>
      <c r="Y196" s="31"/>
    </row>
    <row r="197" spans="1:28" ht="16.5" hidden="1" thickBot="1">
      <c r="A197" s="31"/>
      <c r="B197" s="379"/>
      <c r="C197" s="384"/>
      <c r="D197" s="384"/>
      <c r="E197" s="321" t="s">
        <v>513</v>
      </c>
      <c r="F197" s="337"/>
      <c r="G197" s="372"/>
      <c r="H197" s="321" t="s">
        <v>513</v>
      </c>
      <c r="I197" s="337"/>
      <c r="J197" s="372"/>
      <c r="K197" s="321" t="s">
        <v>513</v>
      </c>
      <c r="L197" s="337"/>
      <c r="M197" s="372"/>
      <c r="N197" s="321" t="s">
        <v>513</v>
      </c>
      <c r="O197" s="337"/>
      <c r="P197" s="372"/>
      <c r="Q197" s="321" t="s">
        <v>513</v>
      </c>
      <c r="R197" s="337"/>
      <c r="S197" s="372"/>
      <c r="T197" s="31"/>
      <c r="U197" s="31"/>
      <c r="V197" s="31"/>
      <c r="W197" s="31"/>
      <c r="X197" s="31"/>
      <c r="Y197" s="31"/>
    </row>
    <row r="198" spans="1:28" ht="16.5" hidden="1" thickBot="1">
      <c r="A198" s="31"/>
      <c r="B198" s="379"/>
      <c r="C198" s="384"/>
      <c r="D198" s="384"/>
      <c r="E198" s="264">
        <v>502</v>
      </c>
      <c r="F198" s="404">
        <f>-(totalremdic25+F194+E154*1.07)*0.19</f>
        <v>-239889.27256793744</v>
      </c>
      <c r="G198" s="372"/>
      <c r="H198" s="264">
        <v>502</v>
      </c>
      <c r="I198" s="404">
        <f>-(totalremdic25+I194+H154*1.07)*0.19</f>
        <v>-235864.58044881647</v>
      </c>
      <c r="J198" s="372"/>
      <c r="K198" s="264">
        <v>502</v>
      </c>
      <c r="L198" s="404">
        <f>-(totalremdic25+L194+K154*1.07)*0.19</f>
        <v>-231371.6220725209</v>
      </c>
      <c r="M198" s="372"/>
      <c r="N198" s="264">
        <v>502</v>
      </c>
      <c r="O198" s="404">
        <f>-(totalremdic25+O194+N154*1.07)*0.19</f>
        <v>-227634.98076923075</v>
      </c>
      <c r="P198" s="372"/>
      <c r="Q198" s="264">
        <v>502</v>
      </c>
      <c r="R198" s="404">
        <f>-(totalremdic25+R194+Q154*1.07)*0.19</f>
        <v>-227634.98076923075</v>
      </c>
      <c r="S198" s="372"/>
      <c r="T198" s="31"/>
      <c r="U198" s="31"/>
      <c r="V198" s="31"/>
      <c r="W198" s="31"/>
      <c r="X198" s="31"/>
      <c r="Y198" s="31"/>
    </row>
    <row r="199" spans="1:28" ht="16.5" hidden="1" thickBot="1">
      <c r="A199" s="31"/>
      <c r="B199" s="379"/>
      <c r="C199" s="384"/>
      <c r="D199" s="384"/>
      <c r="E199" s="264">
        <v>505</v>
      </c>
      <c r="F199" s="404">
        <f>-(totalremdic25+F194+E154*1.07)*0.03</f>
        <v>-37877.253563358543</v>
      </c>
      <c r="G199" s="372"/>
      <c r="H199" s="264">
        <v>505</v>
      </c>
      <c r="I199" s="404">
        <f>-(totalremdic25+I194+H154*1.07)*0.03</f>
        <v>-37241.77586033944</v>
      </c>
      <c r="J199" s="372"/>
      <c r="K199" s="264">
        <v>505</v>
      </c>
      <c r="L199" s="404">
        <f>-(totalremdic25+L194+K154*1.07)*0.03</f>
        <v>-36532.36137987172</v>
      </c>
      <c r="M199" s="372"/>
      <c r="N199" s="264">
        <v>505</v>
      </c>
      <c r="O199" s="404">
        <f>-(totalremdic25+O194+N154*1.07)*0.03</f>
        <v>-35942.365384615376</v>
      </c>
      <c r="P199" s="372"/>
      <c r="Q199" s="264">
        <v>505</v>
      </c>
      <c r="R199" s="404">
        <f>-(totalremdic25+R194+Q154*1.07)*0.03</f>
        <v>-35942.365384615376</v>
      </c>
      <c r="S199" s="372"/>
      <c r="T199" s="31"/>
      <c r="U199" s="31"/>
      <c r="V199" s="31"/>
      <c r="W199" s="31"/>
      <c r="X199" s="31"/>
      <c r="Y199" s="31"/>
    </row>
    <row r="200" spans="1:28" ht="16.5" hidden="1" thickBot="1">
      <c r="A200" s="31"/>
      <c r="B200" s="379"/>
      <c r="C200" s="384"/>
      <c r="D200" s="384"/>
      <c r="E200" s="388"/>
      <c r="F200" s="388"/>
      <c r="G200" s="372"/>
      <c r="H200" s="388"/>
      <c r="I200" s="388"/>
      <c r="J200" s="372"/>
      <c r="K200" s="388"/>
      <c r="L200" s="388"/>
      <c r="M200" s="372"/>
      <c r="N200" s="388"/>
      <c r="O200" s="388"/>
      <c r="P200" s="372"/>
      <c r="Q200" s="388"/>
      <c r="R200" s="388"/>
      <c r="S200" s="372"/>
      <c r="T200" s="31"/>
      <c r="U200" s="31"/>
      <c r="V200" s="31"/>
      <c r="W200" s="31"/>
      <c r="X200" s="31"/>
      <c r="Y200" s="31"/>
    </row>
    <row r="201" spans="1:28" ht="18.75" hidden="1" thickBot="1">
      <c r="A201" s="31"/>
      <c r="B201" s="379"/>
      <c r="C201" s="384"/>
      <c r="D201" s="384"/>
      <c r="E201" s="369" t="s">
        <v>514</v>
      </c>
      <c r="F201" s="337"/>
      <c r="G201" s="372"/>
      <c r="H201" s="369" t="s">
        <v>514</v>
      </c>
      <c r="I201" s="337"/>
      <c r="J201" s="372"/>
      <c r="K201" s="369" t="s">
        <v>514</v>
      </c>
      <c r="L201" s="337"/>
      <c r="M201" s="372"/>
      <c r="N201" s="369" t="s">
        <v>514</v>
      </c>
      <c r="O201" s="337"/>
      <c r="P201" s="372"/>
      <c r="Q201" s="369" t="s">
        <v>514</v>
      </c>
      <c r="R201" s="337"/>
      <c r="S201" s="372"/>
      <c r="T201" s="405"/>
      <c r="U201" s="31"/>
      <c r="V201" s="31"/>
      <c r="W201" s="31"/>
      <c r="X201" s="31"/>
      <c r="Y201" s="31"/>
    </row>
    <row r="202" spans="1:28" ht="18.75" hidden="1" thickBot="1">
      <c r="A202" s="31"/>
      <c r="B202" s="379"/>
      <c r="C202" s="384"/>
      <c r="D202" s="384"/>
      <c r="E202" s="369"/>
      <c r="F202" s="387">
        <f>E166+F194+F195+F198+F199</f>
        <v>1270637.5614159731</v>
      </c>
      <c r="G202" s="372"/>
      <c r="H202" s="369"/>
      <c r="I202" s="387">
        <f>H166+I194+I195+I198+I199</f>
        <v>1192931.4094369977</v>
      </c>
      <c r="J202" s="372"/>
      <c r="K202" s="369"/>
      <c r="L202" s="387">
        <f>K166+L194+L195+L198+L199</f>
        <v>1103551.5873168383</v>
      </c>
      <c r="M202" s="372"/>
      <c r="N202" s="369"/>
      <c r="O202" s="387">
        <f>N166+O194+O195+O198+O199</f>
        <v>1061500.5</v>
      </c>
      <c r="P202" s="372"/>
      <c r="Q202" s="369"/>
      <c r="R202" s="387">
        <f>Q166+R194+R195+R198+R199</f>
        <v>998707.49999999988</v>
      </c>
      <c r="S202" s="372"/>
      <c r="T202" s="405"/>
      <c r="U202" s="31"/>
      <c r="V202" s="31"/>
      <c r="W202" s="31"/>
      <c r="X202" s="31"/>
      <c r="Y202" s="31"/>
    </row>
    <row r="203" spans="1:28" ht="18.75" hidden="1" thickBot="1">
      <c r="A203" s="31"/>
      <c r="B203" s="379"/>
      <c r="C203" s="384"/>
      <c r="D203" s="384"/>
      <c r="E203" s="406" t="s">
        <v>515</v>
      </c>
      <c r="F203" s="407"/>
      <c r="G203" s="372"/>
      <c r="H203" s="406" t="s">
        <v>515</v>
      </c>
      <c r="I203" s="407"/>
      <c r="J203" s="372"/>
      <c r="K203" s="406" t="s">
        <v>515</v>
      </c>
      <c r="L203" s="407"/>
      <c r="M203" s="372"/>
      <c r="N203" s="406" t="s">
        <v>515</v>
      </c>
      <c r="O203" s="407"/>
      <c r="P203" s="372"/>
      <c r="Q203" s="406" t="s">
        <v>515</v>
      </c>
      <c r="R203" s="407"/>
      <c r="S203" s="372"/>
      <c r="T203" s="405"/>
      <c r="U203" s="31"/>
      <c r="V203" s="31"/>
      <c r="W203" s="31"/>
      <c r="X203" s="31"/>
      <c r="Y203" s="31"/>
    </row>
    <row r="204" spans="1:28" ht="16.5" hidden="1" thickBot="1">
      <c r="A204" s="31"/>
      <c r="B204" s="379"/>
      <c r="C204" s="384"/>
      <c r="D204" s="384"/>
      <c r="E204" s="323"/>
      <c r="F204" s="408">
        <f>F202-F175+F171</f>
        <v>359832.56141597312</v>
      </c>
      <c r="G204" s="372"/>
      <c r="H204" s="323"/>
      <c r="I204" s="408">
        <f>I202-I175+I171</f>
        <v>342931.40943699772</v>
      </c>
      <c r="J204" s="372"/>
      <c r="K204" s="323"/>
      <c r="L204" s="408">
        <f>L202-L175+L171</f>
        <v>327301.58731683833</v>
      </c>
      <c r="M204" s="372"/>
      <c r="N204" s="323"/>
      <c r="O204" s="408">
        <f>O202-O175+O171</f>
        <v>311500.5</v>
      </c>
      <c r="P204" s="372"/>
      <c r="Q204" s="323"/>
      <c r="R204" s="408">
        <f>R202-R175+R171</f>
        <v>311500.49999999988</v>
      </c>
      <c r="S204" s="372"/>
      <c r="T204" s="31"/>
      <c r="U204" s="31"/>
      <c r="V204" s="31"/>
      <c r="W204" s="31"/>
      <c r="X204" s="31"/>
      <c r="Y204" s="31"/>
    </row>
    <row r="205" spans="1:28" ht="26.25" hidden="1" thickBot="1">
      <c r="A205" s="31"/>
      <c r="B205" s="323"/>
      <c r="C205" s="323"/>
      <c r="D205" s="323"/>
      <c r="E205" s="22"/>
      <c r="F205" s="23"/>
      <c r="G205" s="21"/>
      <c r="H205" s="22"/>
      <c r="I205" s="23"/>
      <c r="J205" s="21"/>
      <c r="K205" s="22"/>
      <c r="L205" s="23"/>
      <c r="M205" s="21"/>
      <c r="N205" s="22"/>
      <c r="O205" s="23"/>
      <c r="P205" s="21"/>
      <c r="Q205" s="22"/>
      <c r="R205" s="23"/>
      <c r="S205" s="21"/>
      <c r="T205" s="409"/>
      <c r="U205" s="409"/>
      <c r="V205" s="31"/>
      <c r="W205" s="31"/>
      <c r="X205" s="31"/>
      <c r="Y205" s="31"/>
    </row>
    <row r="206" spans="1:28" ht="15.75" thickBot="1">
      <c r="A206" s="153"/>
      <c r="B206" s="410"/>
      <c r="C206" s="153"/>
      <c r="D206" s="153"/>
      <c r="E206" s="153"/>
      <c r="F206" s="153"/>
      <c r="G206" s="153"/>
      <c r="H206" s="153"/>
      <c r="I206" s="153"/>
      <c r="J206" s="153"/>
      <c r="K206" s="153"/>
      <c r="L206" s="153"/>
      <c r="M206" s="153"/>
      <c r="N206" s="153"/>
      <c r="O206" s="153"/>
      <c r="P206" s="153"/>
      <c r="Q206" s="153"/>
      <c r="R206" s="153"/>
      <c r="S206" s="153"/>
      <c r="T206" s="153"/>
      <c r="U206" s="153"/>
      <c r="V206" s="153"/>
      <c r="W206" s="153"/>
      <c r="X206" s="153"/>
      <c r="Y206" s="153"/>
      <c r="Z206" s="153"/>
      <c r="AA206" s="153"/>
      <c r="AB206" s="153"/>
    </row>
    <row r="207" spans="1:28">
      <c r="A207" s="31"/>
      <c r="B207" s="31"/>
      <c r="C207" s="31"/>
      <c r="D207" s="31"/>
      <c r="E207" s="411"/>
      <c r="F207" s="411"/>
      <c r="G207" s="412"/>
      <c r="H207" s="413"/>
      <c r="I207" s="815" t="str">
        <f>canthormed&amp;" horas med"</f>
        <v>36 horas med</v>
      </c>
      <c r="J207" s="415">
        <f>porantighormed</f>
        <v>1.2</v>
      </c>
      <c r="K207" s="416"/>
      <c r="L207" s="417"/>
      <c r="M207" s="417"/>
      <c r="N207" s="417"/>
      <c r="O207" s="417"/>
      <c r="P207" s="417"/>
      <c r="Q207" s="37"/>
      <c r="R207" s="37"/>
      <c r="S207" s="37"/>
    </row>
    <row r="208" spans="1:28" ht="15.75">
      <c r="A208" s="31"/>
      <c r="B208" s="31"/>
      <c r="C208" s="31"/>
      <c r="D208" s="31"/>
      <c r="E208" s="418"/>
      <c r="F208" s="418"/>
      <c r="G208" s="418"/>
      <c r="H208" s="419">
        <v>45992</v>
      </c>
      <c r="I208" s="420">
        <v>46054</v>
      </c>
      <c r="J208" s="420">
        <v>46143</v>
      </c>
      <c r="K208" s="187">
        <v>46204</v>
      </c>
      <c r="L208" s="187">
        <v>46266</v>
      </c>
      <c r="M208" s="421"/>
      <c r="N208" s="421"/>
      <c r="O208" s="421"/>
      <c r="P208" s="421"/>
      <c r="Q208" s="421"/>
      <c r="R208" s="421"/>
      <c r="S208" s="421"/>
    </row>
    <row r="209" spans="1:25" ht="23.25">
      <c r="A209" s="31"/>
      <c r="B209" s="31"/>
      <c r="C209" s="422" t="s">
        <v>516</v>
      </c>
      <c r="D209" s="37"/>
      <c r="E209" s="423"/>
      <c r="F209" s="423"/>
      <c r="G209" s="423"/>
      <c r="H209" s="199">
        <f>Q214</f>
        <v>1605573.9593262833</v>
      </c>
      <c r="I209" s="424">
        <f>N214</f>
        <v>1665573.9593262833</v>
      </c>
      <c r="J209" s="425">
        <f>K214</f>
        <v>1715668.2480968956</v>
      </c>
      <c r="K209" s="195">
        <f>H214</f>
        <v>1810132.8455398025</v>
      </c>
      <c r="L209" s="195">
        <f>E214</f>
        <v>1868497.8264065776</v>
      </c>
      <c r="M209" s="426"/>
      <c r="N209" s="426"/>
      <c r="O209" s="426"/>
      <c r="P209" s="426"/>
      <c r="Q209" s="426"/>
      <c r="R209" s="426"/>
      <c r="S209" s="426"/>
    </row>
    <row r="210" spans="1:25">
      <c r="A210" s="31"/>
      <c r="B210" s="31"/>
      <c r="C210" s="31"/>
      <c r="D210" s="31"/>
      <c r="E210" s="427"/>
      <c r="F210" s="428"/>
      <c r="G210" s="427"/>
      <c r="H210" s="199" t="s">
        <v>452</v>
      </c>
      <c r="I210" s="200">
        <f t="shared" ref="I210:K210" si="91">I209-$H209</f>
        <v>60000</v>
      </c>
      <c r="J210" s="200">
        <f t="shared" si="91"/>
        <v>110094.28877061233</v>
      </c>
      <c r="K210" s="200">
        <f t="shared" si="91"/>
        <v>204558.88621351914</v>
      </c>
      <c r="L210" s="200">
        <f t="shared" ref="L210" si="92">L209-$H209</f>
        <v>262923.86708029429</v>
      </c>
      <c r="M210" s="201"/>
      <c r="N210" s="201"/>
      <c r="O210" s="201"/>
      <c r="P210" s="201"/>
      <c r="Q210" s="201"/>
      <c r="R210" s="201"/>
      <c r="S210" s="201"/>
    </row>
    <row r="211" spans="1:25" ht="15.75">
      <c r="A211" s="31"/>
      <c r="B211" s="877" t="s">
        <v>517</v>
      </c>
      <c r="C211" s="878"/>
      <c r="D211" s="429">
        <v>36</v>
      </c>
      <c r="E211" s="430"/>
      <c r="F211" s="431"/>
      <c r="G211" s="430"/>
      <c r="H211" s="203" t="s">
        <v>455</v>
      </c>
      <c r="I211" s="204">
        <f t="shared" ref="I211:K211" si="93">I210/$H209</f>
        <v>3.7369813860942708E-2</v>
      </c>
      <c r="J211" s="204">
        <f t="shared" si="93"/>
        <v>6.857005130851096E-2</v>
      </c>
      <c r="K211" s="204">
        <f t="shared" si="93"/>
        <v>0.12740545835668282</v>
      </c>
      <c r="L211" s="204">
        <f t="shared" ref="L211" si="94">L210/$H209</f>
        <v>0.16375693287316398</v>
      </c>
      <c r="M211" s="205"/>
      <c r="N211" s="205"/>
      <c r="O211" s="205"/>
      <c r="P211" s="205"/>
      <c r="Q211" s="205"/>
      <c r="R211" s="205"/>
      <c r="S211" s="205"/>
    </row>
    <row r="212" spans="1:25" ht="16.5" thickBot="1">
      <c r="A212" s="31"/>
      <c r="B212" s="877" t="s">
        <v>518</v>
      </c>
      <c r="C212" s="878"/>
      <c r="D212" s="432">
        <v>24</v>
      </c>
      <c r="E212" s="433"/>
      <c r="F212" s="37"/>
      <c r="G212" s="434"/>
      <c r="H212" s="208" t="s">
        <v>456</v>
      </c>
      <c r="I212" s="209"/>
      <c r="J212" s="435"/>
      <c r="K212" s="436"/>
      <c r="L212" s="437"/>
      <c r="M212" s="437"/>
      <c r="N212" s="437"/>
      <c r="O212" s="437"/>
      <c r="P212" s="437"/>
      <c r="Q212" s="437"/>
      <c r="R212" s="437"/>
      <c r="S212" s="437"/>
    </row>
    <row r="213" spans="1:25" ht="24" thickBot="1">
      <c r="A213" s="31"/>
      <c r="B213" s="31"/>
      <c r="C213" s="31"/>
      <c r="D213" s="438">
        <f>LOOKUP(D212,D18:D29,E18:E29)</f>
        <v>1.2</v>
      </c>
      <c r="E213" s="439" t="s">
        <v>458</v>
      </c>
      <c r="F213" s="856" t="s">
        <v>559</v>
      </c>
      <c r="G213" s="440"/>
      <c r="H213" s="439" t="s">
        <v>458</v>
      </c>
      <c r="I213" s="856" t="s">
        <v>559</v>
      </c>
      <c r="J213" s="440"/>
      <c r="K213" s="439" t="s">
        <v>458</v>
      </c>
      <c r="L213" s="856" t="s">
        <v>560</v>
      </c>
      <c r="M213" s="440"/>
      <c r="N213" s="439" t="s">
        <v>458</v>
      </c>
      <c r="O213" s="213"/>
      <c r="P213" s="440"/>
      <c r="Q213" s="439" t="s">
        <v>458</v>
      </c>
      <c r="R213" s="213"/>
      <c r="S213" s="31"/>
      <c r="T213" s="31"/>
      <c r="U213" s="31"/>
      <c r="V213" s="31"/>
      <c r="W213" s="31"/>
      <c r="X213" s="31"/>
      <c r="Y213" s="31"/>
    </row>
    <row r="214" spans="1:25" ht="21" thickBot="1">
      <c r="A214" s="31"/>
      <c r="B214" s="441" t="s">
        <v>519</v>
      </c>
      <c r="C214" s="442"/>
      <c r="D214" s="443"/>
      <c r="E214" s="444">
        <f>F252</f>
        <v>1868497.8264065776</v>
      </c>
      <c r="F214" s="857">
        <f>E214/1531473</f>
        <v>1.2200657970506679</v>
      </c>
      <c r="G214" s="445"/>
      <c r="H214" s="444">
        <f>I252</f>
        <v>1810132.8455398025</v>
      </c>
      <c r="I214" s="857">
        <f>H214/1531473</f>
        <v>1.1819554412907067</v>
      </c>
      <c r="J214" s="445"/>
      <c r="K214" s="444">
        <f>L252</f>
        <v>1715668.2480968956</v>
      </c>
      <c r="L214" s="857">
        <f>K214/1469768</f>
        <v>1.1673054850132101</v>
      </c>
      <c r="M214" s="445"/>
      <c r="N214" s="444">
        <f>O252</f>
        <v>1665573.9593262833</v>
      </c>
      <c r="O214" s="216"/>
      <c r="P214" s="445"/>
      <c r="Q214" s="444">
        <f>R252</f>
        <v>1605573.9593262833</v>
      </c>
      <c r="R214" s="216"/>
      <c r="S214" s="31"/>
      <c r="T214" s="31"/>
      <c r="U214" s="31"/>
      <c r="V214" s="31"/>
      <c r="W214" s="31"/>
      <c r="X214" s="31"/>
      <c r="Y214" s="31"/>
    </row>
    <row r="215" spans="1:25" ht="16.5" thickTop="1">
      <c r="A215" s="31"/>
      <c r="B215" s="889" t="s">
        <v>520</v>
      </c>
      <c r="C215" s="871"/>
      <c r="D215" s="446">
        <v>36</v>
      </c>
      <c r="E215" s="218" t="s">
        <v>461</v>
      </c>
      <c r="F215" s="858"/>
      <c r="G215" s="448"/>
      <c r="H215" s="218" t="s">
        <v>461</v>
      </c>
      <c r="I215" s="858"/>
      <c r="J215" s="448"/>
      <c r="K215" s="218" t="s">
        <v>461</v>
      </c>
      <c r="L215" s="858"/>
      <c r="M215" s="448"/>
      <c r="N215" s="218" t="s">
        <v>461</v>
      </c>
      <c r="O215" s="447"/>
      <c r="P215" s="448"/>
      <c r="Q215" s="218" t="s">
        <v>461</v>
      </c>
      <c r="R215" s="447"/>
      <c r="S215" s="31"/>
      <c r="T215" s="31"/>
      <c r="U215" s="31"/>
      <c r="V215" s="31"/>
      <c r="W215" s="31"/>
      <c r="X215" s="31"/>
      <c r="Y215" s="31"/>
    </row>
    <row r="216" spans="1:25" ht="18">
      <c r="A216" s="31"/>
      <c r="B216" s="889" t="s">
        <v>521</v>
      </c>
      <c r="C216" s="871"/>
      <c r="D216" s="446">
        <v>30</v>
      </c>
      <c r="E216" s="223">
        <f>E214-E240-E241</f>
        <v>1630061.8264065776</v>
      </c>
      <c r="F216" s="857">
        <f>E216/1531473</f>
        <v>1.0643751645680841</v>
      </c>
      <c r="G216" s="450"/>
      <c r="H216" s="223">
        <f>H214-H240-H241</f>
        <v>1571696.8455398025</v>
      </c>
      <c r="I216" s="857">
        <f>H216/1531473</f>
        <v>1.026264808808123</v>
      </c>
      <c r="J216" s="450"/>
      <c r="K216" s="223">
        <f>K214-K240-K241-K243</f>
        <v>1563256.2480968956</v>
      </c>
      <c r="L216" s="857">
        <f>K216/1469768</f>
        <v>1.0636074864175133</v>
      </c>
      <c r="M216" s="450"/>
      <c r="N216" s="223">
        <f>N214-N240-N241-N243</f>
        <v>1513161.9593262833</v>
      </c>
      <c r="O216" s="449"/>
      <c r="P216" s="450"/>
      <c r="Q216" s="223">
        <f>Q214-Q240-Q241-Q243</f>
        <v>1477161.9593262833</v>
      </c>
      <c r="R216" s="449"/>
      <c r="S216" s="31"/>
      <c r="T216" s="31"/>
      <c r="U216" s="31"/>
      <c r="V216" s="31"/>
      <c r="W216" s="31"/>
      <c r="X216" s="31"/>
      <c r="Y216" s="31"/>
    </row>
    <row r="217" spans="1:25" ht="15.75">
      <c r="A217" s="31"/>
      <c r="B217" s="890" t="s">
        <v>522</v>
      </c>
      <c r="C217" s="871"/>
      <c r="D217" s="446">
        <v>1</v>
      </c>
      <c r="E217" s="451"/>
      <c r="F217" s="451"/>
      <c r="G217" s="451"/>
      <c r="H217" s="451"/>
      <c r="I217" s="451"/>
      <c r="J217" s="451"/>
      <c r="K217" s="451"/>
      <c r="L217" s="451"/>
      <c r="M217" s="451"/>
      <c r="N217" s="451"/>
      <c r="O217" s="451"/>
      <c r="P217" s="451"/>
      <c r="Q217" s="451"/>
      <c r="R217" s="31"/>
      <c r="S217" s="31"/>
      <c r="T217" s="91"/>
      <c r="U217" s="31"/>
      <c r="V217" s="31"/>
      <c r="W217" s="31"/>
      <c r="X217" s="31"/>
      <c r="Y217" s="31"/>
    </row>
    <row r="218" spans="1:25" ht="15.75">
      <c r="A218" s="31"/>
      <c r="B218" s="74" t="s">
        <v>523</v>
      </c>
      <c r="C218" s="37"/>
      <c r="D218" s="451">
        <v>15</v>
      </c>
      <c r="E218" s="451"/>
      <c r="F218" s="451"/>
      <c r="G218" s="451"/>
      <c r="H218" s="451"/>
      <c r="I218" s="451"/>
      <c r="J218" s="451"/>
      <c r="K218" s="451"/>
      <c r="L218" s="451"/>
      <c r="M218" s="451"/>
      <c r="N218" s="451"/>
      <c r="O218" s="451"/>
      <c r="P218" s="451"/>
      <c r="Q218" s="451"/>
      <c r="R218" s="31"/>
      <c r="S218" s="31"/>
      <c r="T218" s="31"/>
      <c r="U218" s="31"/>
      <c r="V218" s="31"/>
      <c r="W218" s="31"/>
      <c r="X218" s="31"/>
      <c r="Y218" s="31"/>
    </row>
    <row r="219" spans="1:25" ht="15.75">
      <c r="A219" s="31"/>
      <c r="B219" s="891" t="s">
        <v>524</v>
      </c>
      <c r="C219" s="892"/>
      <c r="D219" s="446">
        <v>0</v>
      </c>
      <c r="E219" s="451"/>
      <c r="F219" s="451"/>
      <c r="G219" s="452"/>
      <c r="H219" s="451"/>
      <c r="I219" s="451"/>
      <c r="J219" s="452"/>
      <c r="K219" s="451"/>
      <c r="L219" s="451"/>
      <c r="M219" s="452"/>
      <c r="N219" s="451"/>
      <c r="O219" s="451"/>
      <c r="P219" s="452"/>
      <c r="Q219" s="452"/>
      <c r="R219" s="31"/>
      <c r="S219" s="31"/>
      <c r="T219" s="31"/>
      <c r="U219" s="31"/>
      <c r="V219" s="31"/>
      <c r="W219" s="31"/>
      <c r="X219" s="31"/>
      <c r="Y219" s="31"/>
    </row>
    <row r="220" spans="1:25">
      <c r="A220" s="31"/>
      <c r="B220" s="31"/>
      <c r="C220" s="31"/>
      <c r="D220" s="453"/>
      <c r="E220" s="453"/>
      <c r="F220" s="453"/>
      <c r="G220" s="453"/>
      <c r="H220" s="453"/>
      <c r="I220" s="453"/>
      <c r="J220" s="453"/>
      <c r="K220" s="453"/>
      <c r="L220" s="453"/>
      <c r="M220" s="453"/>
      <c r="N220" s="453"/>
      <c r="O220" s="453"/>
      <c r="P220" s="453"/>
      <c r="Q220" s="453"/>
      <c r="R220" s="31"/>
      <c r="S220" s="31"/>
      <c r="T220" s="31"/>
      <c r="U220" s="31"/>
      <c r="V220" s="31"/>
      <c r="W220" s="31"/>
      <c r="X220" s="31"/>
      <c r="Y220" s="31"/>
    </row>
    <row r="221" spans="1:25" ht="18">
      <c r="A221" s="31"/>
      <c r="B221" s="893" t="s">
        <v>459</v>
      </c>
      <c r="C221" s="894"/>
      <c r="D221" s="454">
        <f>canthormed*64.73</f>
        <v>2330.2800000000002</v>
      </c>
      <c r="E221" s="455"/>
      <c r="F221" s="455"/>
      <c r="G221" s="455"/>
      <c r="H221" s="455"/>
      <c r="I221" s="455"/>
      <c r="J221" s="455"/>
      <c r="K221" s="455"/>
      <c r="L221" s="455"/>
      <c r="M221" s="455"/>
      <c r="N221" s="455"/>
      <c r="O221" s="455"/>
      <c r="P221" s="455"/>
      <c r="Q221" s="455"/>
      <c r="R221" s="31"/>
      <c r="S221" s="31"/>
      <c r="T221" s="31"/>
      <c r="U221" s="31"/>
      <c r="V221" s="31"/>
      <c r="W221" s="31"/>
      <c r="X221" s="31"/>
      <c r="Y221" s="31"/>
    </row>
    <row r="222" spans="1:25" ht="18">
      <c r="A222" s="31"/>
      <c r="B222" s="51"/>
      <c r="C222" s="52"/>
      <c r="D222" s="51"/>
      <c r="E222" s="860"/>
      <c r="F222" s="860"/>
      <c r="G222" s="860"/>
      <c r="H222" s="817"/>
      <c r="I222" s="817"/>
      <c r="J222" s="817"/>
      <c r="K222" s="51"/>
      <c r="L222" s="51"/>
      <c r="M222" s="51"/>
      <c r="N222" s="51"/>
      <c r="O222" s="51"/>
      <c r="P222" s="51"/>
      <c r="Q222" s="22"/>
      <c r="R222" s="31"/>
      <c r="S222" s="31"/>
      <c r="T222" s="31"/>
      <c r="U222" s="31"/>
      <c r="V222" s="31"/>
      <c r="W222" s="31"/>
      <c r="X222" s="31"/>
      <c r="Y222" s="31"/>
    </row>
    <row r="223" spans="1:25" ht="20.25">
      <c r="A223" s="31"/>
      <c r="B223" s="456"/>
      <c r="C223" s="31"/>
      <c r="D223" s="456"/>
      <c r="E223" s="866">
        <v>46266</v>
      </c>
      <c r="F223" s="867">
        <f>Aumentoseptiembre26</f>
        <v>0.10336174999999992</v>
      </c>
      <c r="G223" s="868"/>
      <c r="H223" s="807">
        <v>46204</v>
      </c>
      <c r="I223" s="808">
        <f>Aumentojulio26</f>
        <v>6.6049999999999942E-2</v>
      </c>
      <c r="J223" s="809"/>
      <c r="K223" s="807">
        <v>46143</v>
      </c>
      <c r="L223" s="808">
        <v>3.5000000000000003E-2</v>
      </c>
      <c r="M223" s="809"/>
      <c r="N223" s="807">
        <v>46054</v>
      </c>
      <c r="O223" s="808">
        <v>0</v>
      </c>
      <c r="P223" s="809"/>
      <c r="Q223" s="807">
        <v>45992</v>
      </c>
      <c r="R223" s="23"/>
      <c r="S223" s="21"/>
      <c r="T223" s="31"/>
      <c r="U223" s="31"/>
      <c r="V223" s="31"/>
      <c r="W223" s="31"/>
      <c r="X223" s="31"/>
      <c r="Y223" s="31"/>
    </row>
    <row r="224" spans="1:25">
      <c r="A224" s="31"/>
      <c r="B224" s="457" t="s">
        <v>463</v>
      </c>
      <c r="C224" s="458" t="s">
        <v>464</v>
      </c>
      <c r="D224" s="459" t="s">
        <v>465</v>
      </c>
      <c r="E224" s="459"/>
      <c r="F224" s="459"/>
      <c r="G224" s="459"/>
      <c r="H224" s="459"/>
      <c r="I224" s="459"/>
      <c r="J224" s="459"/>
      <c r="K224" s="459"/>
      <c r="L224" s="459"/>
      <c r="M224" s="459"/>
      <c r="N224" s="459"/>
      <c r="O224" s="459"/>
      <c r="P224" s="459"/>
      <c r="Q224" s="459"/>
      <c r="R224" s="459"/>
      <c r="S224" s="459"/>
      <c r="T224" s="31"/>
      <c r="U224" s="31"/>
      <c r="V224" s="31"/>
      <c r="W224" s="31"/>
      <c r="X224" s="31"/>
      <c r="Y224" s="31"/>
    </row>
    <row r="225" spans="1:25">
      <c r="A225" s="31"/>
      <c r="B225" s="460">
        <v>4</v>
      </c>
      <c r="C225" s="461">
        <f>canthormed</f>
        <v>36</v>
      </c>
      <c r="D225" s="462" t="s">
        <v>525</v>
      </c>
      <c r="E225" s="463">
        <f t="shared" ref="E225:E234" si="95">E290</f>
        <v>678852.98497638712</v>
      </c>
      <c r="F225" s="464"/>
      <c r="G225" s="465"/>
      <c r="H225" s="463">
        <f t="shared" ref="H225:H234" si="96">H290</f>
        <v>655896.60384192003</v>
      </c>
      <c r="I225" s="464"/>
      <c r="J225" s="465"/>
      <c r="K225" s="463">
        <f t="shared" ref="K225:K234" si="97">K290</f>
        <v>636792.81926400005</v>
      </c>
      <c r="L225" s="464"/>
      <c r="M225" s="465"/>
      <c r="N225" s="463">
        <f t="shared" ref="N225:N234" si="98">N290</f>
        <v>615258.64407461567</v>
      </c>
      <c r="O225" s="464"/>
      <c r="P225" s="465"/>
      <c r="Q225" s="463">
        <f t="shared" ref="Q225:Q234" si="99">Q290</f>
        <v>615258.64407461567</v>
      </c>
      <c r="R225" s="464"/>
      <c r="S225" s="465"/>
      <c r="T225" s="31"/>
      <c r="U225" s="31"/>
      <c r="V225" s="31"/>
      <c r="W225" s="31"/>
      <c r="X225" s="31"/>
      <c r="Y225" s="31"/>
    </row>
    <row r="226" spans="1:25">
      <c r="A226" s="31"/>
      <c r="B226" s="466">
        <v>10</v>
      </c>
      <c r="C226" s="467">
        <f>porantighormed</f>
        <v>1.2</v>
      </c>
      <c r="D226" s="234" t="s">
        <v>475</v>
      </c>
      <c r="E226" s="468">
        <f t="shared" si="95"/>
        <v>814623.58197166456</v>
      </c>
      <c r="F226" s="469"/>
      <c r="G226" s="465"/>
      <c r="H226" s="468">
        <f t="shared" si="96"/>
        <v>817075.92461030406</v>
      </c>
      <c r="I226" s="469"/>
      <c r="J226" s="465"/>
      <c r="K226" s="468">
        <f t="shared" si="97"/>
        <v>794151.38311679999</v>
      </c>
      <c r="L226" s="469"/>
      <c r="M226" s="465"/>
      <c r="N226" s="468">
        <f t="shared" si="98"/>
        <v>768310.37288953876</v>
      </c>
      <c r="O226" s="469"/>
      <c r="P226" s="465"/>
      <c r="Q226" s="468">
        <f t="shared" si="99"/>
        <v>768310.37288953876</v>
      </c>
      <c r="R226" s="469"/>
      <c r="S226" s="465"/>
      <c r="T226" s="31"/>
      <c r="U226" s="31"/>
      <c r="V226" s="31"/>
      <c r="W226" s="31"/>
      <c r="X226" s="31"/>
      <c r="Y226" s="31"/>
    </row>
    <row r="227" spans="1:25" ht="15.75">
      <c r="A227" s="31"/>
      <c r="B227" s="460">
        <v>6</v>
      </c>
      <c r="C227" s="470">
        <f>C292</f>
        <v>36</v>
      </c>
      <c r="D227" s="462" t="s">
        <v>474</v>
      </c>
      <c r="E227" s="463">
        <f t="shared" si="95"/>
        <v>169669.54137518996</v>
      </c>
      <c r="F227" s="464"/>
      <c r="G227" s="465"/>
      <c r="H227" s="463">
        <f t="shared" si="96"/>
        <v>163931.92403399997</v>
      </c>
      <c r="I227" s="464"/>
      <c r="J227" s="465"/>
      <c r="K227" s="463">
        <f t="shared" si="97"/>
        <v>159157.20779999997</v>
      </c>
      <c r="L227" s="464"/>
      <c r="M227" s="465"/>
      <c r="N227" s="463">
        <f t="shared" si="98"/>
        <v>153775.07999999999</v>
      </c>
      <c r="O227" s="464"/>
      <c r="P227" s="465"/>
      <c r="Q227" s="463">
        <f t="shared" si="99"/>
        <v>153775.07999999999</v>
      </c>
      <c r="R227" s="464"/>
      <c r="S227" s="465"/>
      <c r="T227" s="31"/>
      <c r="U227" s="31"/>
      <c r="V227" s="31"/>
      <c r="W227" s="31"/>
      <c r="X227" s="31"/>
      <c r="Y227" s="31"/>
    </row>
    <row r="228" spans="1:25">
      <c r="A228" s="31"/>
      <c r="B228" s="466">
        <v>14</v>
      </c>
      <c r="C228" s="467">
        <v>7.0000000000000007E-2</v>
      </c>
      <c r="D228" s="234" t="s">
        <v>526</v>
      </c>
      <c r="E228" s="468">
        <f t="shared" si="95"/>
        <v>11876.867896263298</v>
      </c>
      <c r="F228" s="469"/>
      <c r="G228" s="465"/>
      <c r="H228" s="468">
        <f t="shared" si="96"/>
        <v>11475.234682379998</v>
      </c>
      <c r="I228" s="469"/>
      <c r="J228" s="465"/>
      <c r="K228" s="468">
        <f t="shared" si="97"/>
        <v>11141.004546</v>
      </c>
      <c r="L228" s="469"/>
      <c r="M228" s="465"/>
      <c r="N228" s="468">
        <f t="shared" si="98"/>
        <v>10764.2556</v>
      </c>
      <c r="O228" s="469"/>
      <c r="P228" s="465"/>
      <c r="Q228" s="468">
        <f t="shared" si="99"/>
        <v>10764.2556</v>
      </c>
      <c r="R228" s="469"/>
      <c r="S228" s="465"/>
      <c r="T228" s="31"/>
      <c r="U228" s="31"/>
      <c r="V228" s="31"/>
      <c r="W228" s="31"/>
      <c r="X228" s="31"/>
      <c r="Y228" s="31"/>
    </row>
    <row r="229" spans="1:25" ht="15.75">
      <c r="A229" s="31"/>
      <c r="B229" s="460">
        <v>18</v>
      </c>
      <c r="C229" s="470">
        <f>C294</f>
        <v>18</v>
      </c>
      <c r="D229" s="471" t="s">
        <v>527</v>
      </c>
      <c r="E229" s="463">
        <f t="shared" si="95"/>
        <v>67558</v>
      </c>
      <c r="F229" s="464"/>
      <c r="G229" s="465"/>
      <c r="H229" s="463">
        <f t="shared" si="96"/>
        <v>65273.175449999995</v>
      </c>
      <c r="I229" s="464"/>
      <c r="J229" s="465"/>
      <c r="K229" s="463">
        <f t="shared" si="97"/>
        <v>63372.014999999992</v>
      </c>
      <c r="L229" s="464"/>
      <c r="M229" s="465"/>
      <c r="N229" s="463">
        <f t="shared" si="98"/>
        <v>61229</v>
      </c>
      <c r="O229" s="464"/>
      <c r="P229" s="465"/>
      <c r="Q229" s="463">
        <f t="shared" si="99"/>
        <v>61229</v>
      </c>
      <c r="R229" s="464"/>
      <c r="S229" s="465"/>
      <c r="T229" s="31"/>
      <c r="U229" s="31"/>
      <c r="V229" s="31"/>
      <c r="W229" s="31"/>
      <c r="X229" s="31"/>
      <c r="Y229" s="31"/>
    </row>
    <row r="230" spans="1:25">
      <c r="A230" s="31"/>
      <c r="B230" s="466">
        <v>188</v>
      </c>
      <c r="C230" s="467">
        <v>7.0000000000000007E-2</v>
      </c>
      <c r="D230" s="234" t="s">
        <v>477</v>
      </c>
      <c r="E230" s="468">
        <f t="shared" si="95"/>
        <v>122324.33968636362</v>
      </c>
      <c r="F230" s="469"/>
      <c r="G230" s="465"/>
      <c r="H230" s="468">
        <f t="shared" si="96"/>
        <v>120346.9306516557</v>
      </c>
      <c r="I230" s="469"/>
      <c r="J230" s="465"/>
      <c r="K230" s="468">
        <f t="shared" si="97"/>
        <v>116953.81616665603</v>
      </c>
      <c r="L230" s="469"/>
      <c r="M230" s="465"/>
      <c r="N230" s="468">
        <f t="shared" si="98"/>
        <v>113129.03118749081</v>
      </c>
      <c r="O230" s="469"/>
      <c r="P230" s="465"/>
      <c r="Q230" s="468">
        <f t="shared" si="99"/>
        <v>113129.03118749081</v>
      </c>
      <c r="R230" s="469"/>
      <c r="S230" s="465"/>
      <c r="T230" s="31"/>
      <c r="U230" s="31"/>
      <c r="V230" s="31"/>
      <c r="W230" s="31"/>
      <c r="X230" s="31"/>
      <c r="Y230" s="31"/>
    </row>
    <row r="231" spans="1:25">
      <c r="A231" s="31"/>
      <c r="B231" s="472">
        <v>78</v>
      </c>
      <c r="C231" s="473">
        <v>0</v>
      </c>
      <c r="D231" s="231" t="s">
        <v>480</v>
      </c>
      <c r="E231" s="463">
        <f t="shared" si="95"/>
        <v>0</v>
      </c>
      <c r="F231" s="464"/>
      <c r="G231" s="465"/>
      <c r="H231" s="463">
        <f t="shared" si="96"/>
        <v>0</v>
      </c>
      <c r="I231" s="464"/>
      <c r="J231" s="465"/>
      <c r="K231" s="463">
        <f t="shared" si="97"/>
        <v>0</v>
      </c>
      <c r="L231" s="464"/>
      <c r="M231" s="465"/>
      <c r="N231" s="463">
        <f t="shared" si="98"/>
        <v>0</v>
      </c>
      <c r="O231" s="464"/>
      <c r="P231" s="465"/>
      <c r="Q231" s="463">
        <f t="shared" si="99"/>
        <v>0</v>
      </c>
      <c r="R231" s="464"/>
      <c r="S231" s="465"/>
      <c r="T231" s="31"/>
      <c r="U231" s="31"/>
      <c r="V231" s="31"/>
      <c r="W231" s="31"/>
      <c r="X231" s="31"/>
      <c r="Y231" s="31"/>
    </row>
    <row r="232" spans="1:25" ht="15.75">
      <c r="A232" s="31"/>
      <c r="B232" s="466">
        <v>29</v>
      </c>
      <c r="C232" s="474">
        <f>C297</f>
        <v>0</v>
      </c>
      <c r="D232" s="234" t="s">
        <v>484</v>
      </c>
      <c r="E232" s="468">
        <f t="shared" si="95"/>
        <v>0</v>
      </c>
      <c r="F232" s="475" t="s">
        <v>528</v>
      </c>
      <c r="G232" s="465"/>
      <c r="H232" s="468">
        <f t="shared" si="96"/>
        <v>0</v>
      </c>
      <c r="I232" s="475" t="s">
        <v>528</v>
      </c>
      <c r="J232" s="465"/>
      <c r="K232" s="468">
        <f t="shared" si="97"/>
        <v>0</v>
      </c>
      <c r="L232" s="475" t="s">
        <v>528</v>
      </c>
      <c r="M232" s="465"/>
      <c r="N232" s="468">
        <f t="shared" si="98"/>
        <v>0</v>
      </c>
      <c r="O232" s="475" t="s">
        <v>528</v>
      </c>
      <c r="P232" s="465"/>
      <c r="Q232" s="468">
        <f t="shared" si="99"/>
        <v>0</v>
      </c>
      <c r="R232" s="475" t="s">
        <v>528</v>
      </c>
      <c r="S232" s="465"/>
      <c r="T232" s="31"/>
      <c r="U232" s="31"/>
      <c r="V232" s="31"/>
      <c r="W232" s="31"/>
      <c r="X232" s="31"/>
      <c r="Y232" s="31"/>
    </row>
    <row r="233" spans="1:25" ht="15.75">
      <c r="A233" s="31"/>
      <c r="B233" s="460">
        <v>117</v>
      </c>
      <c r="C233" s="476"/>
      <c r="D233" s="462" t="s">
        <v>482</v>
      </c>
      <c r="E233" s="463">
        <f t="shared" si="95"/>
        <v>47716</v>
      </c>
      <c r="F233" s="477"/>
      <c r="G233" s="465"/>
      <c r="H233" s="463">
        <f t="shared" si="96"/>
        <v>46102.398300000001</v>
      </c>
      <c r="I233" s="477"/>
      <c r="J233" s="465"/>
      <c r="K233" s="463">
        <f t="shared" si="97"/>
        <v>44759.609999999993</v>
      </c>
      <c r="L233" s="477"/>
      <c r="M233" s="465"/>
      <c r="N233" s="463">
        <f t="shared" si="98"/>
        <v>43246</v>
      </c>
      <c r="O233" s="477"/>
      <c r="P233" s="465"/>
      <c r="Q233" s="463">
        <f t="shared" si="99"/>
        <v>43246</v>
      </c>
      <c r="R233" s="477"/>
      <c r="S233" s="465"/>
      <c r="T233" s="31"/>
      <c r="U233" s="31"/>
      <c r="V233" s="31"/>
      <c r="W233" s="31"/>
      <c r="X233" s="31"/>
      <c r="Y233" s="31"/>
    </row>
    <row r="234" spans="1:25" ht="16.5" thickBot="1">
      <c r="A234" s="31"/>
      <c r="B234" s="478">
        <v>38</v>
      </c>
      <c r="C234" s="479">
        <f>D218</f>
        <v>15</v>
      </c>
      <c r="D234" s="480" t="s">
        <v>529</v>
      </c>
      <c r="E234" s="468">
        <f t="shared" si="95"/>
        <v>113740</v>
      </c>
      <c r="F234" s="469"/>
      <c r="G234" s="465"/>
      <c r="H234" s="468">
        <f t="shared" si="96"/>
        <v>109893.76424999999</v>
      </c>
      <c r="I234" s="469"/>
      <c r="J234" s="465"/>
      <c r="K234" s="468">
        <f t="shared" si="97"/>
        <v>106692.97499999999</v>
      </c>
      <c r="L234" s="469"/>
      <c r="M234" s="465"/>
      <c r="N234" s="468">
        <f t="shared" si="98"/>
        <v>103085</v>
      </c>
      <c r="O234" s="469"/>
      <c r="P234" s="465"/>
      <c r="Q234" s="468">
        <f t="shared" si="99"/>
        <v>103085</v>
      </c>
      <c r="R234" s="469"/>
      <c r="S234" s="465"/>
      <c r="T234" s="31"/>
      <c r="U234" s="31"/>
      <c r="V234" s="31"/>
      <c r="W234" s="31"/>
      <c r="X234" s="31"/>
      <c r="Y234" s="31"/>
    </row>
    <row r="235" spans="1:25" ht="16.5" thickBot="1">
      <c r="A235" s="31"/>
      <c r="B235" s="357">
        <v>25</v>
      </c>
      <c r="C235" s="481">
        <v>1</v>
      </c>
      <c r="D235" s="482" t="str">
        <f>D300</f>
        <v>Nuevo cod Bonif y Remun</v>
      </c>
      <c r="E235" s="482">
        <f>E300</f>
        <v>25000</v>
      </c>
      <c r="F235" s="469"/>
      <c r="G235" s="465"/>
      <c r="H235" s="482">
        <f>H300</f>
        <v>25000</v>
      </c>
      <c r="I235" s="469"/>
      <c r="J235" s="465"/>
      <c r="K235" s="482">
        <f>K300</f>
        <v>25000</v>
      </c>
      <c r="L235" s="469"/>
      <c r="M235" s="465"/>
      <c r="N235" s="482">
        <f>N300</f>
        <v>25000</v>
      </c>
      <c r="O235" s="469"/>
      <c r="P235" s="465"/>
      <c r="Q235" s="482">
        <f>Q300</f>
        <v>25000</v>
      </c>
      <c r="R235" s="469"/>
      <c r="S235" s="465"/>
      <c r="T235" s="31"/>
      <c r="U235" s="31"/>
      <c r="V235" s="31"/>
      <c r="W235" s="31"/>
      <c r="X235" s="31"/>
      <c r="Y235" s="31"/>
    </row>
    <row r="236" spans="1:25" ht="16.5" thickBot="1">
      <c r="A236" s="31"/>
      <c r="B236" s="912">
        <v>32</v>
      </c>
      <c r="C236" s="913"/>
      <c r="D236" s="914" t="str">
        <f>D301</f>
        <v>Antig sobre Código 25</v>
      </c>
      <c r="E236" s="914">
        <f>E301</f>
        <v>30000</v>
      </c>
      <c r="F236" s="915" t="s">
        <v>573</v>
      </c>
      <c r="G236" s="465"/>
      <c r="H236" s="911" t="s">
        <v>572</v>
      </c>
      <c r="I236" s="469"/>
      <c r="J236" s="465"/>
      <c r="K236" s="911"/>
      <c r="L236" s="469"/>
      <c r="M236" s="465"/>
      <c r="N236" s="911"/>
      <c r="O236" s="469"/>
      <c r="P236" s="465"/>
      <c r="Q236" s="911"/>
      <c r="R236" s="469"/>
      <c r="S236" s="465"/>
      <c r="T236" s="31"/>
      <c r="U236" s="31"/>
      <c r="V236" s="31"/>
      <c r="W236" s="31"/>
      <c r="X236" s="31"/>
      <c r="Y236" s="31"/>
    </row>
    <row r="237" spans="1:25" ht="15.75">
      <c r="A237" s="31"/>
      <c r="B237" s="478"/>
      <c r="C237" s="479"/>
      <c r="D237" s="480"/>
      <c r="E237" s="468"/>
      <c r="F237" s="469"/>
      <c r="G237" s="465"/>
      <c r="H237" s="468"/>
      <c r="I237" s="469"/>
      <c r="J237" s="465"/>
      <c r="K237" s="468"/>
      <c r="L237" s="469"/>
      <c r="M237" s="465"/>
      <c r="N237" s="468"/>
      <c r="O237" s="469"/>
      <c r="P237" s="465"/>
      <c r="Q237" s="468"/>
      <c r="R237" s="469"/>
      <c r="S237" s="465"/>
      <c r="T237" s="31"/>
      <c r="U237" s="31"/>
      <c r="V237" s="31"/>
      <c r="W237" s="31"/>
      <c r="X237" s="31"/>
      <c r="Y237" s="31"/>
    </row>
    <row r="238" spans="1:25" ht="15.75">
      <c r="A238" s="31"/>
      <c r="B238" s="472"/>
      <c r="C238" s="483"/>
      <c r="D238" s="268" t="s">
        <v>530</v>
      </c>
      <c r="E238" s="484">
        <f>E302</f>
        <v>2081361.3159058685</v>
      </c>
      <c r="F238" s="464"/>
      <c r="G238" s="465"/>
      <c r="H238" s="484">
        <f>H302</f>
        <v>2014995.9558202596</v>
      </c>
      <c r="I238" s="464"/>
      <c r="J238" s="465"/>
      <c r="K238" s="484">
        <f>K302</f>
        <v>1958020.8308934562</v>
      </c>
      <c r="L238" s="464"/>
      <c r="M238" s="465"/>
      <c r="N238" s="484">
        <f>N302</f>
        <v>1893797.3837516452</v>
      </c>
      <c r="O238" s="464"/>
      <c r="P238" s="465"/>
      <c r="Q238" s="484">
        <f>Q302</f>
        <v>1893797.3837516452</v>
      </c>
      <c r="R238" s="464"/>
      <c r="S238" s="465"/>
      <c r="T238" s="31"/>
      <c r="U238" s="31"/>
      <c r="V238" s="31"/>
      <c r="W238" s="31"/>
      <c r="X238" s="31"/>
      <c r="Y238" s="31"/>
    </row>
    <row r="239" spans="1:25">
      <c r="A239" s="31"/>
      <c r="B239" s="485" t="s">
        <v>531</v>
      </c>
      <c r="C239" s="257"/>
      <c r="D239" s="258"/>
      <c r="E239" s="486">
        <v>0</v>
      </c>
      <c r="F239" s="469"/>
      <c r="G239" s="465"/>
      <c r="H239" s="486">
        <v>0</v>
      </c>
      <c r="I239" s="469"/>
      <c r="J239" s="465"/>
      <c r="K239" s="486">
        <v>0</v>
      </c>
      <c r="L239" s="469"/>
      <c r="M239" s="465"/>
      <c r="N239" s="486">
        <v>0</v>
      </c>
      <c r="O239" s="469"/>
      <c r="P239" s="465"/>
      <c r="Q239" s="486">
        <v>0</v>
      </c>
      <c r="R239" s="469"/>
      <c r="S239" s="465"/>
      <c r="T239" s="31"/>
      <c r="U239" s="31"/>
      <c r="V239" s="31"/>
      <c r="W239" s="31"/>
      <c r="X239" s="31"/>
      <c r="Y239" s="31"/>
    </row>
    <row r="240" spans="1:25" ht="15.75">
      <c r="A240" s="31"/>
      <c r="B240" s="845">
        <v>184</v>
      </c>
      <c r="C240" s="487">
        <f>C304</f>
        <v>29.999999999999996</v>
      </c>
      <c r="D240" s="231" t="s">
        <v>488</v>
      </c>
      <c r="E240" s="488">
        <f>E304</f>
        <v>138139</v>
      </c>
      <c r="F240" s="464"/>
      <c r="G240" s="465"/>
      <c r="H240" s="488">
        <f>H304</f>
        <v>138139</v>
      </c>
      <c r="I240" s="464"/>
      <c r="J240" s="465"/>
      <c r="K240" s="488">
        <f>K304</f>
        <v>73504.799999999988</v>
      </c>
      <c r="L240" s="464"/>
      <c r="M240" s="465"/>
      <c r="N240" s="463">
        <f>N304</f>
        <v>73504.799999999988</v>
      </c>
      <c r="O240" s="464"/>
      <c r="P240" s="465"/>
      <c r="Q240" s="463">
        <f t="shared" ref="Q240:Q241" si="100">Q304</f>
        <v>73504.799999999988</v>
      </c>
      <c r="R240" s="464"/>
      <c r="S240" s="465"/>
      <c r="T240" s="31"/>
      <c r="U240" s="31"/>
      <c r="V240" s="31"/>
      <c r="W240" s="31"/>
      <c r="X240" s="31"/>
      <c r="Y240" s="31"/>
    </row>
    <row r="241" spans="1:25" ht="15.75">
      <c r="A241" s="31"/>
      <c r="B241" s="845">
        <v>204</v>
      </c>
      <c r="C241" s="487">
        <f>C305</f>
        <v>30</v>
      </c>
      <c r="D241" s="231" t="s">
        <v>489</v>
      </c>
      <c r="E241" s="488">
        <f>E305</f>
        <v>100297</v>
      </c>
      <c r="F241" s="843" t="s">
        <v>552</v>
      </c>
      <c r="G241" s="465"/>
      <c r="H241" s="488">
        <f>H305</f>
        <v>100297</v>
      </c>
      <c r="I241" s="843" t="s">
        <v>552</v>
      </c>
      <c r="J241" s="465"/>
      <c r="K241" s="488">
        <f>K305</f>
        <v>54907.199999999997</v>
      </c>
      <c r="L241" s="843" t="s">
        <v>552</v>
      </c>
      <c r="M241" s="465"/>
      <c r="N241" s="463">
        <f>N305</f>
        <v>54907.199999999997</v>
      </c>
      <c r="O241" s="464"/>
      <c r="P241" s="465"/>
      <c r="Q241" s="463">
        <f t="shared" si="100"/>
        <v>54907.199999999997</v>
      </c>
      <c r="R241" s="464"/>
      <c r="S241" s="465"/>
      <c r="T241" s="31"/>
      <c r="U241" s="31"/>
      <c r="V241" s="31"/>
      <c r="W241" s="31"/>
      <c r="X241" s="31"/>
      <c r="Y241" s="31"/>
    </row>
    <row r="242" spans="1:25" ht="15.75">
      <c r="A242" s="31"/>
      <c r="B242" s="838">
        <v>234</v>
      </c>
      <c r="C242" s="839">
        <f t="shared" ref="C242:N244" si="101">C306</f>
        <v>15</v>
      </c>
      <c r="D242" s="840" t="str">
        <f t="shared" si="101"/>
        <v>FOPID ART 2 DTO 500</v>
      </c>
      <c r="E242" s="827" t="s">
        <v>568</v>
      </c>
      <c r="F242" s="844">
        <f>SUM(E240:E243)</f>
        <v>238436</v>
      </c>
      <c r="G242" s="465"/>
      <c r="H242" s="827" t="s">
        <v>568</v>
      </c>
      <c r="I242" s="844">
        <f>SUM(H240:H243)</f>
        <v>238436</v>
      </c>
      <c r="J242" s="465"/>
      <c r="K242" s="488">
        <f t="shared" ref="K242:K244" si="102">K306</f>
        <v>36000</v>
      </c>
      <c r="L242" s="844">
        <f>SUM(K240:K243)</f>
        <v>188412</v>
      </c>
      <c r="M242" s="465"/>
      <c r="N242" s="488">
        <f t="shared" si="101"/>
        <v>36000</v>
      </c>
      <c r="O242" s="464"/>
      <c r="P242" s="465"/>
      <c r="Q242" s="463"/>
      <c r="R242" s="464"/>
      <c r="S242" s="465"/>
      <c r="T242" s="31"/>
      <c r="U242" s="31"/>
      <c r="V242" s="31"/>
      <c r="W242" s="31"/>
      <c r="X242" s="31"/>
      <c r="Y242" s="31"/>
    </row>
    <row r="243" spans="1:25" ht="15.75">
      <c r="A243" s="31"/>
      <c r="B243" s="838">
        <v>244</v>
      </c>
      <c r="C243" s="841">
        <f t="shared" si="101"/>
        <v>15</v>
      </c>
      <c r="D243" s="842" t="str">
        <f t="shared" si="101"/>
        <v>Conectividad Art2 Dto 500</v>
      </c>
      <c r="E243" s="827" t="s">
        <v>569</v>
      </c>
      <c r="F243" s="834">
        <f>F242/F252</f>
        <v>0.1276083903498838</v>
      </c>
      <c r="G243" s="465"/>
      <c r="H243" s="827" t="s">
        <v>569</v>
      </c>
      <c r="I243" s="834">
        <f>I242/I252</f>
        <v>0.1317229288377979</v>
      </c>
      <c r="J243" s="465"/>
      <c r="K243" s="488">
        <f t="shared" si="102"/>
        <v>24000</v>
      </c>
      <c r="L243" s="834">
        <f>L242/L252</f>
        <v>0.10981843384290403</v>
      </c>
      <c r="M243" s="465"/>
      <c r="N243" s="488">
        <f t="shared" si="101"/>
        <v>24000</v>
      </c>
      <c r="O243" s="464"/>
      <c r="P243" s="465"/>
      <c r="Q243" s="489"/>
      <c r="R243" s="464"/>
      <c r="S243" s="465"/>
      <c r="T243" s="31"/>
      <c r="U243" s="31"/>
      <c r="V243" s="31"/>
      <c r="W243" s="31"/>
      <c r="X243" s="31"/>
      <c r="Y243" s="31"/>
    </row>
    <row r="244" spans="1:25">
      <c r="A244" s="31"/>
      <c r="B244" s="466"/>
      <c r="C244" s="490"/>
      <c r="D244" s="260" t="s">
        <v>532</v>
      </c>
      <c r="E244" s="491">
        <f t="shared" ref="E244" si="103">E308</f>
        <v>2319797.3159058685</v>
      </c>
      <c r="F244" s="469"/>
      <c r="G244" s="465"/>
      <c r="H244" s="491">
        <f t="shared" si="101"/>
        <v>2253431.9558202596</v>
      </c>
      <c r="I244" s="469"/>
      <c r="J244" s="465"/>
      <c r="K244" s="491">
        <f t="shared" si="102"/>
        <v>2146432.830893456</v>
      </c>
      <c r="L244" s="469"/>
      <c r="M244" s="465"/>
      <c r="N244" s="491">
        <f t="shared" si="101"/>
        <v>2082209.3837516452</v>
      </c>
      <c r="O244" s="469"/>
      <c r="P244" s="465"/>
      <c r="Q244" s="491">
        <f t="shared" ref="Q244" si="104">Q308</f>
        <v>2022209.3837516452</v>
      </c>
      <c r="R244" s="469"/>
      <c r="S244" s="465"/>
      <c r="T244" s="31"/>
      <c r="U244" s="31"/>
      <c r="V244" s="31"/>
      <c r="W244" s="31"/>
      <c r="X244" s="31"/>
      <c r="Y244" s="31"/>
    </row>
    <row r="245" spans="1:25">
      <c r="A245" s="31"/>
      <c r="B245" s="472">
        <v>440</v>
      </c>
      <c r="C245" s="492"/>
      <c r="D245" s="231" t="s">
        <v>491</v>
      </c>
      <c r="E245" s="493">
        <v>0</v>
      </c>
      <c r="F245" s="494">
        <f t="shared" ref="F245:F250" si="105">F309</f>
        <v>0</v>
      </c>
      <c r="G245" s="465"/>
      <c r="H245" s="493">
        <v>0</v>
      </c>
      <c r="I245" s="494">
        <f t="shared" ref="I245:I250" si="106">I309</f>
        <v>0</v>
      </c>
      <c r="J245" s="465"/>
      <c r="K245" s="493">
        <v>0</v>
      </c>
      <c r="L245" s="494">
        <f t="shared" ref="L245:L250" si="107">L309</f>
        <v>0</v>
      </c>
      <c r="M245" s="465"/>
      <c r="N245" s="493">
        <v>0</v>
      </c>
      <c r="O245" s="494">
        <f t="shared" ref="O245:O250" si="108">O309</f>
        <v>0</v>
      </c>
      <c r="P245" s="465"/>
      <c r="Q245" s="493">
        <v>0</v>
      </c>
      <c r="R245" s="494">
        <f t="shared" ref="R245:R250" si="109">R309</f>
        <v>0</v>
      </c>
      <c r="S245" s="465"/>
      <c r="T245" s="31"/>
      <c r="U245" s="31"/>
      <c r="V245" s="31"/>
      <c r="W245" s="31"/>
      <c r="X245" s="31"/>
      <c r="Y245" s="31"/>
    </row>
    <row r="246" spans="1:25">
      <c r="A246" s="31"/>
      <c r="B246" s="466">
        <v>502</v>
      </c>
      <c r="C246" s="271" t="s">
        <v>492</v>
      </c>
      <c r="D246" s="495" t="s">
        <v>533</v>
      </c>
      <c r="E246" s="468"/>
      <c r="F246" s="496">
        <f t="shared" si="105"/>
        <v>-389758.65002211503</v>
      </c>
      <c r="G246" s="465"/>
      <c r="H246" s="468"/>
      <c r="I246" s="496">
        <f t="shared" si="106"/>
        <v>-382849.23160584935</v>
      </c>
      <c r="J246" s="465"/>
      <c r="K246" s="468"/>
      <c r="L246" s="496">
        <f t="shared" si="107"/>
        <v>-372023.95786975668</v>
      </c>
      <c r="M246" s="465"/>
      <c r="N246" s="468"/>
      <c r="O246" s="496">
        <f t="shared" si="108"/>
        <v>-359821.50291281258</v>
      </c>
      <c r="P246" s="465"/>
      <c r="Q246" s="468"/>
      <c r="R246" s="496">
        <f t="shared" si="109"/>
        <v>-359821.50291281258</v>
      </c>
      <c r="S246" s="465"/>
      <c r="T246" s="31"/>
      <c r="U246" s="31"/>
      <c r="V246" s="31"/>
      <c r="W246" s="31"/>
      <c r="X246" s="31"/>
      <c r="Y246" s="31"/>
    </row>
    <row r="247" spans="1:25">
      <c r="A247" s="31"/>
      <c r="B247" s="466">
        <v>505</v>
      </c>
      <c r="C247" s="466">
        <v>0.03</v>
      </c>
      <c r="D247" s="495" t="s">
        <v>534</v>
      </c>
      <c r="E247" s="468"/>
      <c r="F247" s="496">
        <f t="shared" si="105"/>
        <v>-61540.83947717605</v>
      </c>
      <c r="G247" s="465"/>
      <c r="H247" s="468"/>
      <c r="I247" s="496">
        <f t="shared" si="106"/>
        <v>-60449.878674607789</v>
      </c>
      <c r="J247" s="465"/>
      <c r="K247" s="468"/>
      <c r="L247" s="496">
        <f t="shared" si="107"/>
        <v>-58740.624926803685</v>
      </c>
      <c r="M247" s="465"/>
      <c r="N247" s="468"/>
      <c r="O247" s="496">
        <f t="shared" si="108"/>
        <v>-56813.921512549357</v>
      </c>
      <c r="P247" s="465"/>
      <c r="Q247" s="468"/>
      <c r="R247" s="496">
        <f t="shared" si="109"/>
        <v>-56813.921512549357</v>
      </c>
      <c r="S247" s="465"/>
      <c r="T247" s="31"/>
      <c r="U247" s="31"/>
      <c r="V247" s="31"/>
      <c r="W247" s="31"/>
      <c r="X247" s="31"/>
      <c r="Y247" s="31"/>
    </row>
    <row r="248" spans="1:25">
      <c r="A248" s="31"/>
      <c r="B248" s="497">
        <v>332</v>
      </c>
      <c r="C248" s="498">
        <v>0</v>
      </c>
      <c r="D248" s="499" t="s">
        <v>496</v>
      </c>
      <c r="E248" s="463"/>
      <c r="F248" s="494">
        <f t="shared" si="105"/>
        <v>0</v>
      </c>
      <c r="G248" s="465"/>
      <c r="H248" s="463"/>
      <c r="I248" s="494">
        <f t="shared" si="106"/>
        <v>0</v>
      </c>
      <c r="J248" s="465"/>
      <c r="K248" s="463"/>
      <c r="L248" s="494">
        <f t="shared" si="107"/>
        <v>0</v>
      </c>
      <c r="M248" s="465"/>
      <c r="N248" s="463"/>
      <c r="O248" s="494">
        <f t="shared" si="108"/>
        <v>0</v>
      </c>
      <c r="P248" s="465"/>
      <c r="Q248" s="463"/>
      <c r="R248" s="494">
        <f t="shared" si="109"/>
        <v>0</v>
      </c>
      <c r="S248" s="465"/>
      <c r="T248" s="31"/>
      <c r="U248" s="31"/>
      <c r="V248" s="31"/>
      <c r="W248" s="31"/>
      <c r="X248" s="31"/>
      <c r="Y248" s="31"/>
    </row>
    <row r="249" spans="1:25">
      <c r="A249" s="31"/>
      <c r="B249" s="500" t="s">
        <v>497</v>
      </c>
      <c r="C249" s="501">
        <v>0</v>
      </c>
      <c r="D249" s="502"/>
      <c r="E249" s="503"/>
      <c r="F249" s="504">
        <f t="shared" si="105"/>
        <v>0</v>
      </c>
      <c r="G249" s="465"/>
      <c r="H249" s="503"/>
      <c r="I249" s="504">
        <f t="shared" si="106"/>
        <v>0</v>
      </c>
      <c r="J249" s="465"/>
      <c r="K249" s="503"/>
      <c r="L249" s="504">
        <f t="shared" si="107"/>
        <v>0</v>
      </c>
      <c r="M249" s="465"/>
      <c r="N249" s="503"/>
      <c r="O249" s="504">
        <f t="shared" si="108"/>
        <v>0</v>
      </c>
      <c r="P249" s="465"/>
      <c r="Q249" s="503"/>
      <c r="R249" s="504">
        <f t="shared" si="109"/>
        <v>0</v>
      </c>
      <c r="S249" s="465"/>
      <c r="T249" s="31"/>
      <c r="U249" s="31"/>
      <c r="V249" s="31"/>
      <c r="W249" s="31"/>
      <c r="X249" s="31"/>
      <c r="Y249" s="31"/>
    </row>
    <row r="250" spans="1:25">
      <c r="A250" s="31"/>
      <c r="B250" s="505"/>
      <c r="C250" s="506"/>
      <c r="D250" s="507" t="s">
        <v>498</v>
      </c>
      <c r="E250" s="508"/>
      <c r="F250" s="509">
        <f t="shared" si="105"/>
        <v>-451299.48949929106</v>
      </c>
      <c r="G250" s="465"/>
      <c r="H250" s="508"/>
      <c r="I250" s="509">
        <f t="shared" si="106"/>
        <v>-443299.11028045713</v>
      </c>
      <c r="J250" s="465"/>
      <c r="K250" s="508"/>
      <c r="L250" s="509">
        <f t="shared" si="107"/>
        <v>-430764.58279656037</v>
      </c>
      <c r="M250" s="465"/>
      <c r="N250" s="508"/>
      <c r="O250" s="509">
        <f t="shared" si="108"/>
        <v>-416635.42442536191</v>
      </c>
      <c r="P250" s="465"/>
      <c r="Q250" s="508"/>
      <c r="R250" s="509">
        <f t="shared" si="109"/>
        <v>-416635.42442536191</v>
      </c>
      <c r="S250" s="465"/>
      <c r="T250" s="31"/>
      <c r="U250" s="31"/>
      <c r="V250" s="31"/>
      <c r="W250" s="31"/>
      <c r="X250" s="31"/>
      <c r="Y250" s="31"/>
    </row>
    <row r="251" spans="1:25">
      <c r="A251" s="31"/>
      <c r="B251" s="510"/>
      <c r="C251" s="280"/>
      <c r="D251" s="31"/>
      <c r="E251" s="508"/>
      <c r="F251" s="508"/>
      <c r="G251" s="281"/>
      <c r="H251" s="508"/>
      <c r="I251" s="508"/>
      <c r="J251" s="281"/>
      <c r="K251" s="508"/>
      <c r="L251" s="508"/>
      <c r="M251" s="281"/>
      <c r="N251" s="508"/>
      <c r="O251" s="508"/>
      <c r="P251" s="281"/>
      <c r="Q251" s="508"/>
      <c r="R251" s="508"/>
      <c r="S251" s="281"/>
      <c r="T251" s="31"/>
      <c r="U251" s="31"/>
      <c r="V251" s="31"/>
      <c r="W251" s="31"/>
      <c r="X251" s="31"/>
      <c r="Y251" s="31"/>
    </row>
    <row r="252" spans="1:25" ht="20.25">
      <c r="A252" s="282"/>
      <c r="B252" s="511"/>
      <c r="C252" s="282"/>
      <c r="D252" s="512"/>
      <c r="E252" s="513" t="str">
        <f>E316</f>
        <v>Sueldo líquido</v>
      </c>
      <c r="F252" s="929">
        <f>F316</f>
        <v>1868497.8264065776</v>
      </c>
      <c r="G252" s="515"/>
      <c r="H252" s="513" t="str">
        <f>H316</f>
        <v>Sueldo líquido</v>
      </c>
      <c r="I252" s="929">
        <f>I316</f>
        <v>1810132.8455398025</v>
      </c>
      <c r="J252" s="515"/>
      <c r="K252" s="513" t="str">
        <f>K316</f>
        <v>Sueldo líquido</v>
      </c>
      <c r="L252" s="514">
        <f>L316</f>
        <v>1715668.2480968956</v>
      </c>
      <c r="M252" s="515"/>
      <c r="N252" s="513" t="str">
        <f>N316</f>
        <v>Sueldo líquido</v>
      </c>
      <c r="O252" s="514">
        <f>O316</f>
        <v>1665573.9593262833</v>
      </c>
      <c r="P252" s="515"/>
      <c r="Q252" s="513" t="str">
        <f>Q316</f>
        <v>Sueldo líquido</v>
      </c>
      <c r="R252" s="514">
        <f>R316</f>
        <v>1605573.9593262833</v>
      </c>
      <c r="S252" s="515"/>
      <c r="T252" s="282"/>
      <c r="U252" s="282"/>
      <c r="V252" s="282"/>
      <c r="W252" s="282"/>
      <c r="X252" s="282"/>
      <c r="Y252" s="282"/>
    </row>
    <row r="253" spans="1:25" ht="15.75">
      <c r="A253" s="31"/>
      <c r="B253" s="516"/>
      <c r="C253" s="31"/>
      <c r="D253" s="91"/>
      <c r="E253" s="517"/>
      <c r="F253" s="518"/>
      <c r="G253" s="519"/>
      <c r="H253" s="517"/>
      <c r="I253" s="518"/>
      <c r="J253" s="519"/>
      <c r="K253" s="517"/>
      <c r="L253" s="518"/>
      <c r="M253" s="519"/>
      <c r="N253" s="517"/>
      <c r="O253" s="518"/>
      <c r="P253" s="519"/>
      <c r="Q253" s="517"/>
      <c r="R253" s="518"/>
      <c r="S253" s="519"/>
      <c r="T253" s="31"/>
      <c r="U253" s="31"/>
      <c r="V253" s="31"/>
      <c r="W253" s="31"/>
      <c r="X253" s="31"/>
      <c r="Y253" s="31"/>
    </row>
    <row r="254" spans="1:25" ht="15.75">
      <c r="A254" s="31"/>
      <c r="B254" s="71"/>
      <c r="C254" s="31"/>
      <c r="D254" s="91"/>
      <c r="E254" s="520"/>
      <c r="F254" s="521"/>
      <c r="G254" s="519"/>
      <c r="H254" s="520"/>
      <c r="I254" s="521"/>
      <c r="J254" s="519"/>
      <c r="K254" s="520"/>
      <c r="L254" s="521"/>
      <c r="M254" s="519"/>
      <c r="N254" s="520"/>
      <c r="O254" s="521"/>
      <c r="P254" s="519"/>
      <c r="Q254" s="520"/>
      <c r="R254" s="521"/>
      <c r="S254" s="519"/>
      <c r="T254" s="31"/>
      <c r="U254" s="31"/>
      <c r="V254" s="31"/>
      <c r="W254" s="31"/>
      <c r="X254" s="31"/>
      <c r="Y254" s="31"/>
    </row>
    <row r="255" spans="1:25" ht="16.5" thickBot="1">
      <c r="A255" s="31"/>
      <c r="B255" s="71"/>
      <c r="C255" s="31"/>
      <c r="D255" s="91"/>
      <c r="E255" s="522"/>
      <c r="F255" s="523"/>
      <c r="G255" s="519"/>
      <c r="H255" s="522"/>
      <c r="I255" s="523"/>
      <c r="J255" s="519"/>
      <c r="K255" s="522"/>
      <c r="L255" s="523"/>
      <c r="M255" s="519"/>
      <c r="N255" s="522"/>
      <c r="O255" s="523"/>
      <c r="P255" s="519"/>
      <c r="Q255" s="522"/>
      <c r="R255" s="523"/>
      <c r="S255" s="519"/>
      <c r="T255" s="31"/>
      <c r="U255" s="31"/>
      <c r="V255" s="31"/>
      <c r="W255" s="31"/>
      <c r="X255" s="31"/>
      <c r="Y255" s="31"/>
    </row>
    <row r="256" spans="1:25" ht="18">
      <c r="A256" s="31"/>
      <c r="B256" s="524"/>
      <c r="C256" s="91"/>
      <c r="D256" s="525"/>
      <c r="E256" s="526" t="str">
        <f>E318</f>
        <v>Aumento del mes</v>
      </c>
      <c r="F256" s="291">
        <f>F318</f>
        <v>58364.980866775149</v>
      </c>
      <c r="G256" s="527"/>
      <c r="H256" s="526" t="str">
        <f>H318</f>
        <v>Aumento del mes</v>
      </c>
      <c r="I256" s="291">
        <f>I318</f>
        <v>94464.597442906816</v>
      </c>
      <c r="J256" s="527"/>
      <c r="K256" s="526" t="str">
        <f>K318</f>
        <v>Aumento del mes</v>
      </c>
      <c r="L256" s="291">
        <f>L318</f>
        <v>50094.288770612329</v>
      </c>
      <c r="M256" s="527"/>
      <c r="N256" s="526" t="str">
        <f>N318</f>
        <v>Aumento del mes</v>
      </c>
      <c r="O256" s="291">
        <f>O318</f>
        <v>60000</v>
      </c>
      <c r="P256" s="527"/>
      <c r="Q256" s="526" t="str">
        <f>Q318</f>
        <v>Aumento del mes</v>
      </c>
      <c r="R256" s="291">
        <f>R318</f>
        <v>0</v>
      </c>
      <c r="S256" s="527"/>
      <c r="T256" s="31"/>
      <c r="U256" s="31"/>
      <c r="V256" s="31"/>
      <c r="W256" s="31"/>
      <c r="X256" s="31"/>
      <c r="Y256" s="31"/>
    </row>
    <row r="257" spans="1:25" ht="18.75" thickBot="1">
      <c r="A257" s="31"/>
      <c r="B257" s="524"/>
      <c r="C257" s="91"/>
      <c r="D257" s="184"/>
      <c r="E257" s="528" t="str">
        <f>E319</f>
        <v>Porc resp a anterior</v>
      </c>
      <c r="F257" s="293">
        <f>F319</f>
        <v>3.2243479262081473E-2</v>
      </c>
      <c r="G257" s="527"/>
      <c r="H257" s="528" t="str">
        <f>H319</f>
        <v>Porc resp a anterior</v>
      </c>
      <c r="I257" s="293">
        <f>I319</f>
        <v>5.5059943871836318E-2</v>
      </c>
      <c r="J257" s="527"/>
      <c r="K257" s="528" t="str">
        <f>K319</f>
        <v>Porc resp a anterior</v>
      </c>
      <c r="L257" s="293">
        <f>L319</f>
        <v>3.0076292013400133E-2</v>
      </c>
      <c r="M257" s="527"/>
      <c r="N257" s="528" t="str">
        <f>N319</f>
        <v>Porc resp a anterior</v>
      </c>
      <c r="O257" s="293">
        <f>O319</f>
        <v>3.7369813860942708E-2</v>
      </c>
      <c r="P257" s="527"/>
      <c r="Q257" s="528" t="str">
        <f>Q319</f>
        <v>Porc resp a anterior</v>
      </c>
      <c r="R257" s="293">
        <f>R319</f>
        <v>0</v>
      </c>
      <c r="S257" s="527"/>
      <c r="T257" s="31"/>
      <c r="U257" s="31"/>
      <c r="V257" s="31"/>
      <c r="W257" s="31"/>
      <c r="X257" s="31"/>
      <c r="Y257" s="31"/>
    </row>
    <row r="258" spans="1:25" ht="16.5" thickBot="1">
      <c r="A258" s="31"/>
      <c r="B258" s="524"/>
      <c r="C258" s="91"/>
      <c r="D258" s="80"/>
      <c r="E258" s="529"/>
      <c r="F258" s="530"/>
      <c r="G258" s="527"/>
      <c r="H258" s="529"/>
      <c r="I258" s="530"/>
      <c r="J258" s="527"/>
      <c r="K258" s="529"/>
      <c r="L258" s="530"/>
      <c r="M258" s="527"/>
      <c r="N258" s="529"/>
      <c r="O258" s="530"/>
      <c r="P258" s="527"/>
      <c r="Q258" s="529"/>
      <c r="R258" s="530"/>
      <c r="S258" s="527"/>
      <c r="T258" s="31"/>
      <c r="U258" s="31"/>
      <c r="V258" s="31"/>
      <c r="W258" s="31"/>
      <c r="X258" s="31"/>
      <c r="Y258" s="31"/>
    </row>
    <row r="259" spans="1:25" ht="18">
      <c r="A259" s="31"/>
      <c r="B259" s="524"/>
      <c r="C259" s="91"/>
      <c r="D259" s="289"/>
      <c r="E259" s="531" t="str">
        <f>E321</f>
        <v>Aumento acumulado anual</v>
      </c>
      <c r="F259" s="532">
        <f>F321</f>
        <v>262923.86708029429</v>
      </c>
      <c r="G259" s="527"/>
      <c r="H259" s="531" t="str">
        <f>H321</f>
        <v>Aumento acumulado anual</v>
      </c>
      <c r="I259" s="532">
        <f>I321</f>
        <v>204558.88621351914</v>
      </c>
      <c r="J259" s="527"/>
      <c r="K259" s="531" t="str">
        <f>K321</f>
        <v>Aumento acumulado anual</v>
      </c>
      <c r="L259" s="532">
        <f>L321</f>
        <v>110094.28877061233</v>
      </c>
      <c r="M259" s="527"/>
      <c r="N259" s="531" t="str">
        <f>N321</f>
        <v>Aumento acumulado anual</v>
      </c>
      <c r="O259" s="532">
        <f>O321</f>
        <v>60000</v>
      </c>
      <c r="P259" s="527"/>
      <c r="Q259" s="531" t="str">
        <f>Q321</f>
        <v>Aumento acumulado anual</v>
      </c>
      <c r="R259" s="532">
        <f>R321</f>
        <v>0</v>
      </c>
      <c r="S259" s="527"/>
      <c r="T259" s="31"/>
      <c r="U259" s="31"/>
      <c r="V259" s="31"/>
      <c r="W259" s="31"/>
      <c r="X259" s="31"/>
      <c r="Y259" s="31"/>
    </row>
    <row r="260" spans="1:25" ht="16.5" thickBot="1">
      <c r="A260" s="31"/>
      <c r="B260" s="524"/>
      <c r="C260" s="91"/>
      <c r="D260" s="31"/>
      <c r="E260" s="533" t="str">
        <f>E322</f>
        <v>Porcentaje acumulado</v>
      </c>
      <c r="F260" s="534">
        <f>F322</f>
        <v>0.16375693287316398</v>
      </c>
      <c r="G260" s="527"/>
      <c r="H260" s="533" t="str">
        <f>H322</f>
        <v>Porcentaje acumulado</v>
      </c>
      <c r="I260" s="534">
        <f>I322</f>
        <v>0.12740545835668282</v>
      </c>
      <c r="J260" s="527"/>
      <c r="K260" s="533" t="str">
        <f>K322</f>
        <v>Porcentaje acumulado</v>
      </c>
      <c r="L260" s="534">
        <f>L322</f>
        <v>6.857005130851096E-2</v>
      </c>
      <c r="M260" s="527"/>
      <c r="N260" s="533" t="str">
        <f>N322</f>
        <v>Porcentaje acumulado</v>
      </c>
      <c r="O260" s="534">
        <f>O322</f>
        <v>3.7369813860942708E-2</v>
      </c>
      <c r="P260" s="527"/>
      <c r="Q260" s="533" t="str">
        <f>Q322</f>
        <v>Porcentaje acumulado</v>
      </c>
      <c r="R260" s="534">
        <f>R322</f>
        <v>0</v>
      </c>
      <c r="S260" s="527"/>
      <c r="T260" s="31"/>
      <c r="U260" s="31"/>
      <c r="V260" s="31"/>
      <c r="W260" s="31"/>
      <c r="X260" s="31"/>
      <c r="Y260" s="31"/>
    </row>
    <row r="261" spans="1:25" ht="16.5" thickBot="1">
      <c r="A261" s="31"/>
      <c r="B261" s="524"/>
      <c r="C261" s="91"/>
      <c r="D261" s="31"/>
      <c r="E261" s="535"/>
      <c r="F261" s="536"/>
      <c r="G261" s="527"/>
      <c r="H261" s="535"/>
      <c r="I261" s="536"/>
      <c r="J261" s="527"/>
      <c r="K261" s="535"/>
      <c r="L261" s="536"/>
      <c r="M261" s="527"/>
      <c r="N261" s="535"/>
      <c r="O261" s="536"/>
      <c r="P261" s="527"/>
      <c r="Q261" s="535"/>
      <c r="R261" s="536"/>
      <c r="S261" s="527"/>
      <c r="T261" s="31"/>
      <c r="U261" s="31"/>
      <c r="V261" s="31"/>
      <c r="W261" s="31"/>
      <c r="X261" s="31"/>
      <c r="Y261" s="31"/>
    </row>
    <row r="262" spans="1:25" ht="15.75">
      <c r="A262" s="31"/>
      <c r="B262" s="524"/>
      <c r="C262" s="91"/>
      <c r="D262" s="525"/>
      <c r="E262" s="304" t="s">
        <v>499</v>
      </c>
      <c r="F262" s="537">
        <f>F324</f>
        <v>58364.980866775149</v>
      </c>
      <c r="G262" s="527"/>
      <c r="H262" s="304" t="s">
        <v>499</v>
      </c>
      <c r="I262" s="537">
        <f>I324</f>
        <v>44440.597442906816</v>
      </c>
      <c r="J262" s="527"/>
      <c r="K262" s="304" t="s">
        <v>499</v>
      </c>
      <c r="L262" s="537">
        <f>L324</f>
        <v>50094.288770612329</v>
      </c>
      <c r="M262" s="527"/>
      <c r="N262" s="304" t="s">
        <v>499</v>
      </c>
      <c r="O262" s="537">
        <f>O324</f>
        <v>0</v>
      </c>
      <c r="P262" s="527"/>
      <c r="Q262" s="304" t="s">
        <v>499</v>
      </c>
      <c r="R262" s="537">
        <f>R324</f>
        <v>0</v>
      </c>
      <c r="S262" s="527"/>
      <c r="T262" s="31"/>
      <c r="U262" s="31"/>
      <c r="V262" s="31"/>
      <c r="W262" s="31"/>
      <c r="X262" s="31"/>
      <c r="Y262" s="31"/>
    </row>
    <row r="263" spans="1:25" ht="16.5" thickBot="1">
      <c r="A263" s="31"/>
      <c r="B263" s="524"/>
      <c r="C263" s="91"/>
      <c r="D263" s="525"/>
      <c r="E263" s="306" t="s">
        <v>506</v>
      </c>
      <c r="F263" s="307">
        <f>F325</f>
        <v>3.5805378618944166E-2</v>
      </c>
      <c r="G263" s="527"/>
      <c r="H263" s="306" t="s">
        <v>506</v>
      </c>
      <c r="I263" s="307">
        <f>I325</f>
        <v>2.8275552991673534E-2</v>
      </c>
      <c r="J263" s="527"/>
      <c r="K263" s="306" t="s">
        <v>506</v>
      </c>
      <c r="L263" s="307">
        <f>L325</f>
        <v>3.3912522898612796E-2</v>
      </c>
      <c r="M263" s="527"/>
      <c r="N263" s="306" t="s">
        <v>506</v>
      </c>
      <c r="O263" s="307">
        <f>O325</f>
        <v>0</v>
      </c>
      <c r="P263" s="527"/>
      <c r="Q263" s="306" t="s">
        <v>506</v>
      </c>
      <c r="R263" s="307">
        <f>R325</f>
        <v>0</v>
      </c>
      <c r="S263" s="527"/>
      <c r="T263" s="31"/>
      <c r="U263" s="31"/>
      <c r="V263" s="31"/>
      <c r="W263" s="31"/>
      <c r="X263" s="31"/>
      <c r="Y263" s="31"/>
    </row>
    <row r="264" spans="1:25" ht="16.5" thickBot="1">
      <c r="A264" s="31"/>
      <c r="B264" s="524"/>
      <c r="C264" s="91"/>
      <c r="D264" s="525"/>
      <c r="E264" s="538"/>
      <c r="F264" s="539"/>
      <c r="G264" s="527"/>
      <c r="H264" s="538"/>
      <c r="I264" s="539"/>
      <c r="J264" s="527"/>
      <c r="K264" s="538"/>
      <c r="L264" s="539"/>
      <c r="M264" s="527"/>
      <c r="N264" s="538"/>
      <c r="O264" s="539"/>
      <c r="P264" s="527"/>
      <c r="Q264" s="540"/>
      <c r="R264" s="541"/>
      <c r="S264" s="527"/>
      <c r="T264" s="31"/>
      <c r="U264" s="31"/>
      <c r="V264" s="31"/>
      <c r="W264" s="31"/>
      <c r="X264" s="31"/>
      <c r="Y264" s="31"/>
    </row>
    <row r="265" spans="1:25" ht="16.5" thickBot="1">
      <c r="A265" s="31"/>
      <c r="B265" s="524"/>
      <c r="C265" s="91"/>
      <c r="D265" s="525"/>
      <c r="E265" s="304" t="s">
        <v>508</v>
      </c>
      <c r="F265" s="542">
        <f t="shared" ref="F265:F266" si="110">F327</f>
        <v>152899.86708029429</v>
      </c>
      <c r="G265" s="527"/>
      <c r="H265" s="304" t="s">
        <v>508</v>
      </c>
      <c r="I265" s="542">
        <f t="shared" ref="I265:I266" si="111">I327</f>
        <v>94534.886213519145</v>
      </c>
      <c r="J265" s="527"/>
      <c r="K265" s="304" t="s">
        <v>508</v>
      </c>
      <c r="L265" s="542">
        <f t="shared" ref="L265:L266" si="112">L327</f>
        <v>50094.288770612329</v>
      </c>
      <c r="M265" s="527"/>
      <c r="N265" s="304" t="s">
        <v>508</v>
      </c>
      <c r="O265" s="542">
        <f t="shared" ref="O265:O266" si="113">O327</f>
        <v>0</v>
      </c>
      <c r="P265" s="527"/>
      <c r="Q265" s="540"/>
      <c r="R265" s="541"/>
      <c r="S265" s="527"/>
      <c r="T265" s="31"/>
      <c r="U265" s="31"/>
      <c r="V265" s="31"/>
      <c r="W265" s="31"/>
      <c r="X265" s="31"/>
      <c r="Y265" s="31"/>
    </row>
    <row r="266" spans="1:25" ht="16.5" thickBot="1">
      <c r="A266" s="31"/>
      <c r="B266" s="524"/>
      <c r="C266" s="91"/>
      <c r="D266" s="525"/>
      <c r="E266" s="306" t="s">
        <v>500</v>
      </c>
      <c r="F266" s="543">
        <f t="shared" si="110"/>
        <v>0.10350920974842202</v>
      </c>
      <c r="G266" s="527"/>
      <c r="H266" s="306" t="s">
        <v>500</v>
      </c>
      <c r="I266" s="543">
        <f t="shared" si="111"/>
        <v>6.3997644683887897E-2</v>
      </c>
      <c r="J266" s="527"/>
      <c r="K266" s="306" t="s">
        <v>500</v>
      </c>
      <c r="L266" s="543">
        <f t="shared" si="112"/>
        <v>3.3912522898612796E-2</v>
      </c>
      <c r="M266" s="527"/>
      <c r="N266" s="306" t="s">
        <v>500</v>
      </c>
      <c r="O266" s="543">
        <f t="shared" si="113"/>
        <v>0</v>
      </c>
      <c r="P266" s="527"/>
      <c r="Q266" s="540"/>
      <c r="R266" s="541"/>
      <c r="S266" s="527"/>
      <c r="T266" s="31"/>
      <c r="U266" s="31"/>
      <c r="V266" s="31"/>
      <c r="W266" s="31"/>
      <c r="X266" s="31"/>
      <c r="Y266" s="31"/>
    </row>
    <row r="267" spans="1:25" ht="16.5" thickBot="1">
      <c r="A267" s="31"/>
      <c r="B267" s="524"/>
      <c r="C267" s="91"/>
      <c r="D267" s="525"/>
      <c r="E267" s="522"/>
      <c r="F267" s="522"/>
      <c r="G267" s="527"/>
      <c r="H267" s="522"/>
      <c r="I267" s="522"/>
      <c r="J267" s="527"/>
      <c r="K267" s="522"/>
      <c r="L267" s="522"/>
      <c r="M267" s="527"/>
      <c r="N267" s="522"/>
      <c r="O267" s="522"/>
      <c r="P267" s="527"/>
      <c r="Q267" s="522"/>
      <c r="R267" s="522"/>
      <c r="S267" s="527"/>
      <c r="T267" s="31"/>
      <c r="U267" s="31"/>
      <c r="V267" s="31"/>
      <c r="W267" s="31"/>
      <c r="X267" s="31"/>
      <c r="Y267" s="31"/>
    </row>
    <row r="268" spans="1:25" ht="16.5" thickTop="1">
      <c r="A268" s="31"/>
      <c r="B268" s="524"/>
      <c r="C268" s="91"/>
      <c r="D268" s="525"/>
      <c r="E268" s="308" t="str">
        <f t="shared" ref="E268" si="114">E330</f>
        <v>Medio Aguinaldo</v>
      </c>
      <c r="F268" s="309"/>
      <c r="G268" s="527"/>
      <c r="H268" s="308" t="str">
        <f t="shared" ref="H268" si="115">H330</f>
        <v>Medio Aguinaldo</v>
      </c>
      <c r="I268" s="309"/>
      <c r="J268" s="527"/>
      <c r="K268" s="308" t="str">
        <f t="shared" ref="K268:L273" si="116">K330</f>
        <v>Medio Aguinaldo</v>
      </c>
      <c r="L268" s="309"/>
      <c r="M268" s="527"/>
      <c r="N268" s="308" t="str">
        <f t="shared" ref="N268:O273" si="117">N330</f>
        <v>Medio Aguinaldo</v>
      </c>
      <c r="O268" s="309"/>
      <c r="P268" s="527"/>
      <c r="Q268" s="308" t="str">
        <f t="shared" ref="Q268:R273" si="118">Q330</f>
        <v>Medio Aguinaldo</v>
      </c>
      <c r="R268" s="309"/>
      <c r="S268" s="527"/>
      <c r="T268" s="31"/>
      <c r="U268" s="31"/>
      <c r="V268" s="31"/>
      <c r="W268" s="31"/>
      <c r="X268" s="31"/>
      <c r="Y268" s="31"/>
    </row>
    <row r="269" spans="1:25" ht="15.75">
      <c r="A269" s="31"/>
      <c r="B269" s="524"/>
      <c r="C269" s="91"/>
      <c r="D269" s="525"/>
      <c r="E269" s="310" t="str">
        <f t="shared" ref="E269:F269" si="119">E331</f>
        <v>código 100</v>
      </c>
      <c r="F269" s="544">
        <f t="shared" si="119"/>
        <v>1025680.6579529343</v>
      </c>
      <c r="G269" s="527"/>
      <c r="H269" s="310" t="str">
        <f t="shared" ref="H269:I269" si="120">H331</f>
        <v>código 100</v>
      </c>
      <c r="I269" s="544">
        <f t="shared" si="120"/>
        <v>1007497.9779101298</v>
      </c>
      <c r="J269" s="527"/>
      <c r="K269" s="310" t="str">
        <f t="shared" si="116"/>
        <v>código 100</v>
      </c>
      <c r="L269" s="544">
        <f t="shared" si="116"/>
        <v>979010.41544672812</v>
      </c>
      <c r="M269" s="527"/>
      <c r="N269" s="310" t="str">
        <f t="shared" si="117"/>
        <v>código 100</v>
      </c>
      <c r="O269" s="544">
        <f t="shared" si="117"/>
        <v>946898.69187582261</v>
      </c>
      <c r="P269" s="527"/>
      <c r="Q269" s="310" t="str">
        <f t="shared" si="118"/>
        <v>código 100</v>
      </c>
      <c r="R269" s="544">
        <f t="shared" si="118"/>
        <v>946898.69187582261</v>
      </c>
      <c r="S269" s="527"/>
      <c r="T269" s="31"/>
      <c r="U269" s="31"/>
      <c r="V269" s="31"/>
      <c r="W269" s="31"/>
      <c r="X269" s="31"/>
      <c r="Y269" s="31"/>
    </row>
    <row r="270" spans="1:25" ht="15.75">
      <c r="A270" s="31"/>
      <c r="B270" s="524"/>
      <c r="C270" s="91"/>
      <c r="D270" s="525"/>
      <c r="E270" s="545" t="str">
        <f t="shared" ref="E270:F270" si="121">E332</f>
        <v>código 186 (No remun)</v>
      </c>
      <c r="F270" s="546">
        <f t="shared" si="121"/>
        <v>0</v>
      </c>
      <c r="G270" s="527"/>
      <c r="H270" s="545" t="str">
        <f t="shared" ref="H270:I270" si="122">H332</f>
        <v>código 186 (No remun)</v>
      </c>
      <c r="I270" s="546">
        <f t="shared" si="122"/>
        <v>0</v>
      </c>
      <c r="J270" s="527"/>
      <c r="K270" s="545" t="str">
        <f t="shared" si="116"/>
        <v>código 186 (No remun)</v>
      </c>
      <c r="L270" s="546">
        <f t="shared" si="116"/>
        <v>0</v>
      </c>
      <c r="M270" s="527"/>
      <c r="N270" s="545" t="str">
        <f t="shared" si="117"/>
        <v>código 186 (No remun)</v>
      </c>
      <c r="O270" s="546">
        <f t="shared" si="117"/>
        <v>0</v>
      </c>
      <c r="P270" s="527"/>
      <c r="Q270" s="545" t="str">
        <f t="shared" si="118"/>
        <v>código 186 (No remun)</v>
      </c>
      <c r="R270" s="546">
        <f t="shared" si="118"/>
        <v>0</v>
      </c>
      <c r="S270" s="527"/>
      <c r="T270" s="31"/>
      <c r="U270" s="31"/>
      <c r="V270" s="31"/>
      <c r="W270" s="31"/>
      <c r="X270" s="31"/>
      <c r="Y270" s="31"/>
    </row>
    <row r="271" spans="1:25" ht="15.75">
      <c r="A271" s="31"/>
      <c r="B271" s="524"/>
      <c r="C271" s="91"/>
      <c r="D271" s="547"/>
      <c r="E271" s="310" t="str">
        <f t="shared" ref="E271:F273" si="123">E333</f>
        <v>Líquido</v>
      </c>
      <c r="F271" s="312">
        <f t="shared" si="123"/>
        <v>800030.9132032888</v>
      </c>
      <c r="G271" s="527"/>
      <c r="H271" s="310" t="str">
        <f t="shared" ref="H271:I271" si="124">H333</f>
        <v>Líquido</v>
      </c>
      <c r="I271" s="312">
        <f t="shared" si="124"/>
        <v>785848.42276990134</v>
      </c>
      <c r="J271" s="527"/>
      <c r="K271" s="310" t="str">
        <f t="shared" si="116"/>
        <v>Líquido</v>
      </c>
      <c r="L271" s="312">
        <f t="shared" si="116"/>
        <v>763628.12404844793</v>
      </c>
      <c r="M271" s="527"/>
      <c r="N271" s="310" t="str">
        <f t="shared" si="117"/>
        <v>Líquido</v>
      </c>
      <c r="O271" s="312">
        <f t="shared" si="117"/>
        <v>738580.97966314165</v>
      </c>
      <c r="P271" s="527"/>
      <c r="Q271" s="310" t="str">
        <f t="shared" si="118"/>
        <v>Líquido</v>
      </c>
      <c r="R271" s="312">
        <f t="shared" si="118"/>
        <v>738580.97966314165</v>
      </c>
      <c r="S271" s="527"/>
      <c r="T271" s="31"/>
      <c r="U271" s="31"/>
      <c r="V271" s="31"/>
      <c r="W271" s="31"/>
      <c r="X271" s="31"/>
      <c r="Y271" s="31"/>
    </row>
    <row r="272" spans="1:25" ht="15.75">
      <c r="A272" s="31"/>
      <c r="B272" s="524"/>
      <c r="C272" s="91"/>
      <c r="D272" s="525"/>
      <c r="E272" s="545" t="str">
        <f t="shared" si="123"/>
        <v>Descuentos con aguinaldo</v>
      </c>
      <c r="F272" s="546"/>
      <c r="G272" s="527"/>
      <c r="H272" s="545" t="str">
        <f t="shared" ref="H272" si="125">H334</f>
        <v>Descuentos con aguinaldo</v>
      </c>
      <c r="I272" s="546"/>
      <c r="J272" s="527"/>
      <c r="K272" s="545" t="str">
        <f t="shared" si="116"/>
        <v>Descuentos con aguinaldo</v>
      </c>
      <c r="L272" s="546"/>
      <c r="M272" s="527"/>
      <c r="N272" s="545" t="str">
        <f t="shared" si="117"/>
        <v>Descuentos con aguinaldo</v>
      </c>
      <c r="O272" s="546"/>
      <c r="P272" s="527"/>
      <c r="Q272" s="545" t="str">
        <f t="shared" si="118"/>
        <v>Descuentos con aguinaldo</v>
      </c>
      <c r="R272" s="546"/>
      <c r="S272" s="527"/>
      <c r="T272" s="31"/>
      <c r="U272" s="31"/>
      <c r="V272" s="31"/>
      <c r="W272" s="31"/>
      <c r="X272" s="31"/>
      <c r="Y272" s="31"/>
    </row>
    <row r="273" spans="1:25" ht="15.75">
      <c r="A273" s="31"/>
      <c r="B273" s="524"/>
      <c r="C273" s="91"/>
      <c r="D273" s="525"/>
      <c r="E273" s="310">
        <f t="shared" si="123"/>
        <v>502</v>
      </c>
      <c r="F273" s="312">
        <f>F335</f>
        <v>-584637.97503317252</v>
      </c>
      <c r="G273" s="527"/>
      <c r="H273" s="310">
        <f t="shared" ref="H273" si="126">H335</f>
        <v>502</v>
      </c>
      <c r="I273" s="312">
        <f>I335</f>
        <v>-574273.84740877396</v>
      </c>
      <c r="J273" s="527"/>
      <c r="K273" s="310">
        <f t="shared" si="116"/>
        <v>502</v>
      </c>
      <c r="L273" s="312">
        <f>L335</f>
        <v>-558035.9368046351</v>
      </c>
      <c r="M273" s="527"/>
      <c r="N273" s="310">
        <f t="shared" si="117"/>
        <v>502</v>
      </c>
      <c r="O273" s="312">
        <f>O335</f>
        <v>-539732.25436921883</v>
      </c>
      <c r="P273" s="527"/>
      <c r="Q273" s="310">
        <f t="shared" si="118"/>
        <v>502</v>
      </c>
      <c r="R273" s="312">
        <f>R335</f>
        <v>-539732.25436921883</v>
      </c>
      <c r="S273" s="527"/>
      <c r="T273" s="31"/>
      <c r="U273" s="31"/>
      <c r="V273" s="31"/>
      <c r="W273" s="31"/>
      <c r="X273" s="31"/>
      <c r="Y273" s="31"/>
    </row>
    <row r="274" spans="1:25" ht="15.75">
      <c r="A274" s="31"/>
      <c r="B274" s="524"/>
      <c r="C274" s="91"/>
      <c r="D274" s="525"/>
      <c r="E274" s="310">
        <f t="shared" ref="E274:F274" si="127">E337</f>
        <v>505</v>
      </c>
      <c r="F274" s="312">
        <f t="shared" si="127"/>
        <v>-92311.259215764076</v>
      </c>
      <c r="G274" s="527"/>
      <c r="H274" s="310">
        <f t="shared" ref="H274:I274" si="128">H337</f>
        <v>505</v>
      </c>
      <c r="I274" s="312">
        <f t="shared" si="128"/>
        <v>-90674.818011911673</v>
      </c>
      <c r="J274" s="527"/>
      <c r="K274" s="310">
        <f t="shared" ref="K274:L274" si="129">K337</f>
        <v>505</v>
      </c>
      <c r="L274" s="312">
        <f t="shared" si="129"/>
        <v>-88110.937390205538</v>
      </c>
      <c r="M274" s="527"/>
      <c r="N274" s="310">
        <f t="shared" ref="N274:O274" si="130">N337</f>
        <v>505</v>
      </c>
      <c r="O274" s="312">
        <f t="shared" si="130"/>
        <v>-85220.882268824018</v>
      </c>
      <c r="P274" s="527"/>
      <c r="Q274" s="310">
        <f t="shared" ref="Q274:R274" si="131">Q337</f>
        <v>505</v>
      </c>
      <c r="R274" s="312">
        <f t="shared" si="131"/>
        <v>-85220.882268824018</v>
      </c>
      <c r="S274" s="527"/>
      <c r="T274" s="31"/>
      <c r="U274" s="31"/>
      <c r="V274" s="31"/>
      <c r="W274" s="31"/>
      <c r="X274" s="31"/>
      <c r="Y274" s="31"/>
    </row>
    <row r="275" spans="1:25" ht="15.75">
      <c r="A275" s="31"/>
      <c r="B275" s="524"/>
      <c r="C275" s="91"/>
      <c r="D275" s="525"/>
      <c r="E275" s="545"/>
      <c r="F275" s="546"/>
      <c r="G275" s="527"/>
      <c r="H275" s="545"/>
      <c r="I275" s="546"/>
      <c r="J275" s="527"/>
      <c r="K275" s="545"/>
      <c r="L275" s="546"/>
      <c r="M275" s="527"/>
      <c r="N275" s="545"/>
      <c r="O275" s="546"/>
      <c r="P275" s="527"/>
      <c r="Q275" s="545"/>
      <c r="R275" s="546"/>
      <c r="S275" s="527"/>
      <c r="T275" s="31"/>
      <c r="U275" s="31"/>
      <c r="V275" s="31"/>
      <c r="W275" s="31"/>
      <c r="X275" s="31"/>
      <c r="Y275" s="31"/>
    </row>
    <row r="276" spans="1:25" ht="15.75">
      <c r="A276" s="31"/>
      <c r="B276" s="524"/>
      <c r="C276" s="91"/>
      <c r="D276" s="525"/>
      <c r="E276" s="310" t="str">
        <f t="shared" ref="E276" si="132">E339</f>
        <v>Sueldo líquido incluyendo aguinaldo</v>
      </c>
      <c r="F276" s="312"/>
      <c r="G276" s="527"/>
      <c r="H276" s="310" t="str">
        <f t="shared" ref="H276" si="133">H339</f>
        <v>Sueldo líquido incluyendo aguinaldo</v>
      </c>
      <c r="I276" s="312"/>
      <c r="J276" s="527"/>
      <c r="K276" s="310" t="str">
        <f t="shared" ref="K276" si="134">K339</f>
        <v>Sueldo líquido incluyendo aguinaldo</v>
      </c>
      <c r="L276" s="312"/>
      <c r="M276" s="527"/>
      <c r="N276" s="310" t="str">
        <f t="shared" ref="N276" si="135">N339</f>
        <v>Sueldo líquido incluyendo aguinaldo</v>
      </c>
      <c r="O276" s="312"/>
      <c r="P276" s="527"/>
      <c r="Q276" s="310" t="str">
        <f t="shared" ref="Q276" si="136">Q339</f>
        <v>Sueldo líquido incluyendo aguinaldo</v>
      </c>
      <c r="R276" s="312"/>
      <c r="S276" s="527"/>
      <c r="T276" s="31"/>
      <c r="U276" s="31"/>
      <c r="V276" s="31"/>
      <c r="W276" s="31"/>
      <c r="X276" s="31"/>
      <c r="Y276" s="31"/>
    </row>
    <row r="277" spans="1:25" ht="15.75">
      <c r="A277" s="31"/>
      <c r="B277" s="524"/>
      <c r="C277" s="91"/>
      <c r="D277" s="525"/>
      <c r="E277" s="545"/>
      <c r="F277" s="548">
        <f t="shared" ref="F277" si="137">F340</f>
        <v>2668528.7396098659</v>
      </c>
      <c r="G277" s="527"/>
      <c r="H277" s="545"/>
      <c r="I277" s="548">
        <f t="shared" ref="I277" si="138">I340</f>
        <v>2595981.268309704</v>
      </c>
      <c r="J277" s="527"/>
      <c r="K277" s="545"/>
      <c r="L277" s="548">
        <f t="shared" ref="L277" si="139">L340</f>
        <v>2479296.3721453436</v>
      </c>
      <c r="M277" s="527"/>
      <c r="N277" s="545"/>
      <c r="O277" s="548">
        <f t="shared" ref="O277" si="140">O340</f>
        <v>2404154.9389894246</v>
      </c>
      <c r="P277" s="527"/>
      <c r="Q277" s="545"/>
      <c r="R277" s="548">
        <f t="shared" ref="R277" si="141">R340</f>
        <v>2344154.9389894246</v>
      </c>
      <c r="S277" s="527"/>
      <c r="T277" s="31"/>
      <c r="U277" s="31"/>
      <c r="V277" s="31"/>
      <c r="W277" s="31"/>
      <c r="X277" s="31"/>
      <c r="Y277" s="31"/>
    </row>
    <row r="278" spans="1:25" ht="15.75">
      <c r="A278" s="31"/>
      <c r="B278" s="524"/>
      <c r="C278" s="91"/>
      <c r="D278" s="525"/>
      <c r="E278" s="549" t="str">
        <f t="shared" ref="E278" si="142">E341</f>
        <v>Aguinaldo de bolsillo</v>
      </c>
      <c r="F278" s="312"/>
      <c r="G278" s="527"/>
      <c r="H278" s="549" t="str">
        <f t="shared" ref="H278" si="143">H341</f>
        <v>Aguinaldo de bolsillo</v>
      </c>
      <c r="I278" s="312"/>
      <c r="J278" s="527"/>
      <c r="K278" s="549" t="str">
        <f t="shared" ref="K278" si="144">K341</f>
        <v>Aguinaldo de bolsillo</v>
      </c>
      <c r="L278" s="312"/>
      <c r="M278" s="527"/>
      <c r="N278" s="549" t="str">
        <f t="shared" ref="N278" si="145">N341</f>
        <v>Aguinaldo de bolsillo</v>
      </c>
      <c r="O278" s="312"/>
      <c r="P278" s="527"/>
      <c r="Q278" s="549" t="str">
        <f t="shared" ref="Q278" si="146">Q341</f>
        <v>Aguinaldo de bolsillo</v>
      </c>
      <c r="R278" s="312"/>
      <c r="S278" s="527"/>
      <c r="T278" s="31"/>
      <c r="U278" s="31"/>
      <c r="V278" s="31"/>
      <c r="W278" s="31"/>
      <c r="X278" s="31"/>
      <c r="Y278" s="31"/>
    </row>
    <row r="279" spans="1:25" ht="16.5" thickBot="1">
      <c r="A279" s="31"/>
      <c r="B279" s="524"/>
      <c r="C279" s="91"/>
      <c r="D279" s="525"/>
      <c r="E279" s="550"/>
      <c r="F279" s="551">
        <f t="shared" ref="F279" si="147">F342</f>
        <v>800030.91320328834</v>
      </c>
      <c r="G279" s="527"/>
      <c r="H279" s="550"/>
      <c r="I279" s="551">
        <f t="shared" ref="I279" si="148">I342</f>
        <v>785848.42276990158</v>
      </c>
      <c r="J279" s="527"/>
      <c r="K279" s="550"/>
      <c r="L279" s="551">
        <f t="shared" ref="L279" si="149">L342</f>
        <v>763628.12404844793</v>
      </c>
      <c r="M279" s="527"/>
      <c r="N279" s="550"/>
      <c r="O279" s="551">
        <f t="shared" ref="O279" si="150">O342</f>
        <v>738580.9796631413</v>
      </c>
      <c r="P279" s="527"/>
      <c r="Q279" s="550"/>
      <c r="R279" s="551">
        <f t="shared" ref="R279" si="151">R342</f>
        <v>738580.9796631413</v>
      </c>
      <c r="S279" s="527"/>
      <c r="T279" s="31"/>
      <c r="U279" s="31"/>
      <c r="V279" s="31"/>
      <c r="W279" s="31"/>
      <c r="X279" s="31"/>
      <c r="Y279" s="31"/>
    </row>
    <row r="280" spans="1:25" ht="18.75" thickTop="1">
      <c r="A280" s="31"/>
      <c r="B280" s="524"/>
      <c r="C280" s="91"/>
      <c r="D280" s="525"/>
      <c r="E280" s="525"/>
      <c r="F280" s="525"/>
      <c r="G280" s="527"/>
      <c r="H280" s="525"/>
      <c r="I280" s="525"/>
      <c r="J280" s="527"/>
      <c r="K280" s="525"/>
      <c r="L280" s="525"/>
      <c r="M280" s="527"/>
      <c r="N280" s="525"/>
      <c r="O280" s="525"/>
      <c r="P280" s="527"/>
      <c r="Q280" s="22">
        <v>45992</v>
      </c>
      <c r="R280" s="525"/>
      <c r="S280" s="527"/>
      <c r="T280" s="31"/>
      <c r="U280" s="31"/>
      <c r="V280" s="31"/>
      <c r="W280" s="31"/>
      <c r="X280" s="31"/>
      <c r="Y280" s="31"/>
    </row>
    <row r="281" spans="1:25" ht="20.25" hidden="1">
      <c r="A281" s="31"/>
      <c r="B281" s="31"/>
      <c r="C281" s="31"/>
      <c r="D281" s="31"/>
      <c r="E281" s="866">
        <v>46266</v>
      </c>
      <c r="F281" s="867">
        <f>Aumentoseptiembre26</f>
        <v>0.10336174999999992</v>
      </c>
      <c r="G281" s="868"/>
      <c r="H281" s="807">
        <v>46204</v>
      </c>
      <c r="I281" s="808">
        <f>Aumentojulio26</f>
        <v>6.6049999999999942E-2</v>
      </c>
      <c r="J281" s="809"/>
      <c r="K281" s="807">
        <v>46143</v>
      </c>
      <c r="L281" s="808">
        <v>3.5000000000000003E-2</v>
      </c>
      <c r="M281" s="809"/>
      <c r="N281" s="807">
        <v>46054</v>
      </c>
      <c r="O281" s="808">
        <v>0</v>
      </c>
      <c r="P281" s="809"/>
      <c r="Q281" s="807">
        <v>45992</v>
      </c>
      <c r="R281" s="23" t="e">
        <f>(1+Aumentodic25respene25)*(1+Aumentoene25respdic24)-1</f>
        <v>#NAME?</v>
      </c>
      <c r="S281" s="21"/>
      <c r="T281" s="31"/>
      <c r="U281" s="31"/>
      <c r="V281" s="31"/>
      <c r="W281" s="31"/>
      <c r="X281" s="31"/>
      <c r="Y281" s="31"/>
    </row>
    <row r="282" spans="1:25" hidden="1">
      <c r="A282" s="31"/>
      <c r="B282" s="552"/>
      <c r="C282" s="552"/>
      <c r="D282" s="552"/>
      <c r="E282" s="552"/>
      <c r="F282" s="552"/>
      <c r="G282" s="553"/>
      <c r="H282" s="552"/>
      <c r="I282" s="552"/>
      <c r="J282" s="553"/>
      <c r="K282" s="552"/>
      <c r="L282" s="552"/>
      <c r="M282" s="553"/>
      <c r="N282" s="552"/>
      <c r="O282" s="552"/>
      <c r="P282" s="553"/>
      <c r="Q282" s="552"/>
      <c r="R282" s="552"/>
      <c r="S282" s="553"/>
      <c r="T282" s="31"/>
      <c r="U282" s="31"/>
      <c r="V282" s="31"/>
      <c r="W282" s="31"/>
      <c r="X282" s="31"/>
      <c r="Y282" s="31"/>
    </row>
    <row r="283" spans="1:25" hidden="1">
      <c r="A283" s="31"/>
      <c r="B283" s="552"/>
      <c r="C283" s="552"/>
      <c r="D283" s="552"/>
      <c r="E283" s="552">
        <f>5141/15</f>
        <v>342.73333333333335</v>
      </c>
      <c r="F283" s="552"/>
      <c r="G283" s="553"/>
      <c r="H283" s="552">
        <f>5141/15</f>
        <v>342.73333333333335</v>
      </c>
      <c r="I283" s="552"/>
      <c r="J283" s="553"/>
      <c r="K283" s="552">
        <f>5141/15</f>
        <v>342.73333333333335</v>
      </c>
      <c r="L283" s="552"/>
      <c r="M283" s="553"/>
      <c r="N283" s="552">
        <f>5141/15</f>
        <v>342.73333333333335</v>
      </c>
      <c r="O283" s="552"/>
      <c r="P283" s="553"/>
      <c r="Q283" s="552">
        <f>5141/15</f>
        <v>342.73333333333335</v>
      </c>
      <c r="R283" s="552"/>
      <c r="S283" s="553"/>
      <c r="T283" s="31"/>
      <c r="U283" s="31"/>
      <c r="V283" s="31"/>
      <c r="W283" s="31"/>
      <c r="X283" s="31"/>
      <c r="Y283" s="31"/>
    </row>
    <row r="284" spans="1:25" hidden="1">
      <c r="A284" s="31"/>
      <c r="B284" s="552"/>
      <c r="C284" s="552"/>
      <c r="D284" s="552"/>
      <c r="E284" s="552">
        <f>5141*2</f>
        <v>10282</v>
      </c>
      <c r="F284" s="552"/>
      <c r="G284" s="553"/>
      <c r="H284" s="552">
        <f>5141*2</f>
        <v>10282</v>
      </c>
      <c r="I284" s="552"/>
      <c r="J284" s="553"/>
      <c r="K284" s="552">
        <f>5141*2</f>
        <v>10282</v>
      </c>
      <c r="L284" s="552"/>
      <c r="M284" s="553"/>
      <c r="N284" s="552">
        <f>5141*2</f>
        <v>10282</v>
      </c>
      <c r="O284" s="552"/>
      <c r="P284" s="553"/>
      <c r="Q284" s="552">
        <f>5141*2</f>
        <v>10282</v>
      </c>
      <c r="R284" s="552"/>
      <c r="S284" s="553"/>
      <c r="T284" s="31"/>
      <c r="U284" s="31"/>
      <c r="V284" s="31"/>
      <c r="W284" s="31"/>
      <c r="X284" s="31"/>
      <c r="Y284" s="31"/>
    </row>
    <row r="285" spans="1:25" hidden="1">
      <c r="A285" s="31"/>
      <c r="B285" s="552"/>
      <c r="C285" s="552"/>
      <c r="D285" s="552"/>
      <c r="E285" s="552"/>
      <c r="F285" s="552"/>
      <c r="G285" s="553"/>
      <c r="H285" s="552"/>
      <c r="I285" s="552"/>
      <c r="J285" s="553"/>
      <c r="K285" s="552"/>
      <c r="L285" s="552"/>
      <c r="M285" s="553"/>
      <c r="N285" s="552"/>
      <c r="O285" s="552"/>
      <c r="P285" s="553"/>
      <c r="Q285" s="552"/>
      <c r="R285" s="552"/>
      <c r="S285" s="553"/>
      <c r="T285" s="31"/>
      <c r="U285" s="31"/>
      <c r="V285" s="31"/>
      <c r="W285" s="31"/>
      <c r="X285" s="31"/>
      <c r="Y285" s="31"/>
    </row>
    <row r="286" spans="1:25" hidden="1">
      <c r="A286" s="31"/>
      <c r="B286" s="552"/>
      <c r="C286" s="552"/>
      <c r="D286" s="554">
        <f>5353.23/30</f>
        <v>178.44099999999997</v>
      </c>
      <c r="E286" s="552"/>
      <c r="F286" s="552"/>
      <c r="G286" s="553"/>
      <c r="H286" s="552"/>
      <c r="I286" s="552"/>
      <c r="J286" s="553"/>
      <c r="K286" s="552"/>
      <c r="L286" s="552"/>
      <c r="M286" s="553"/>
      <c r="N286" s="552"/>
      <c r="O286" s="552"/>
      <c r="P286" s="553"/>
      <c r="Q286" s="552"/>
      <c r="R286" s="552"/>
      <c r="S286" s="553"/>
      <c r="T286" s="31"/>
      <c r="U286" s="31"/>
      <c r="V286" s="31"/>
      <c r="W286" s="31"/>
      <c r="X286" s="31"/>
      <c r="Y286" s="31"/>
    </row>
    <row r="287" spans="1:25" ht="18" hidden="1">
      <c r="A287" s="31"/>
      <c r="B287" s="552"/>
      <c r="C287" s="552"/>
      <c r="D287" s="552"/>
      <c r="E287" s="552"/>
      <c r="F287" s="552"/>
      <c r="G287" s="553"/>
      <c r="H287" s="552"/>
      <c r="I287" s="552"/>
      <c r="J287" s="553"/>
      <c r="K287" s="552"/>
      <c r="L287" s="552"/>
      <c r="M287" s="553"/>
      <c r="N287" s="552"/>
      <c r="O287" s="552"/>
      <c r="P287" s="553"/>
      <c r="Q287" s="22">
        <v>45992</v>
      </c>
      <c r="R287" s="552"/>
      <c r="S287" s="553"/>
      <c r="T287" s="31"/>
      <c r="U287" s="31"/>
      <c r="V287" s="31"/>
      <c r="W287" s="31"/>
      <c r="X287" s="31"/>
      <c r="Y287" s="31"/>
    </row>
    <row r="288" spans="1:25" ht="27" hidden="1" thickBot="1">
      <c r="A288" s="31"/>
      <c r="B288" s="456"/>
      <c r="C288" s="31"/>
      <c r="D288" s="456"/>
      <c r="E288" s="866">
        <v>46266</v>
      </c>
      <c r="F288" s="867">
        <f>Aumentoseptiembre26</f>
        <v>0.10336174999999992</v>
      </c>
      <c r="G288" s="868"/>
      <c r="H288" s="807">
        <v>46204</v>
      </c>
      <c r="I288" s="808">
        <f>Aumentojulio26</f>
        <v>6.6049999999999942E-2</v>
      </c>
      <c r="J288" s="809"/>
      <c r="K288" s="807">
        <v>46143</v>
      </c>
      <c r="L288" s="808">
        <v>3.5000000000000003E-2</v>
      </c>
      <c r="M288" s="809"/>
      <c r="N288" s="807">
        <v>46054</v>
      </c>
      <c r="O288" s="808">
        <v>0</v>
      </c>
      <c r="P288" s="809"/>
      <c r="Q288" s="807">
        <v>45992</v>
      </c>
      <c r="R288" s="23" t="e">
        <f>(1+Aumentodic25respene25)*(1+Aumentoene25respdic24)-1</f>
        <v>#NAME?</v>
      </c>
      <c r="S288" s="21"/>
      <c r="T288" s="409"/>
      <c r="U288" s="555"/>
      <c r="V288" s="409"/>
      <c r="W288" s="409"/>
      <c r="X288" s="31"/>
      <c r="Y288" s="31"/>
    </row>
    <row r="289" spans="1:25" ht="15.75" hidden="1" thickBot="1">
      <c r="A289" s="31"/>
      <c r="B289" s="321" t="s">
        <v>463</v>
      </c>
      <c r="C289" s="321" t="s">
        <v>464</v>
      </c>
      <c r="D289" s="321" t="s">
        <v>465</v>
      </c>
      <c r="E289" s="321"/>
      <c r="F289" s="321"/>
      <c r="G289" s="321"/>
      <c r="H289" s="321"/>
      <c r="I289" s="321"/>
      <c r="J289" s="321"/>
      <c r="K289" s="321"/>
      <c r="L289" s="321"/>
      <c r="M289" s="321"/>
      <c r="N289" s="321"/>
      <c r="O289" s="321"/>
      <c r="P289" s="321"/>
      <c r="Q289" s="321"/>
      <c r="R289" s="321"/>
      <c r="S289" s="321"/>
      <c r="T289" s="31"/>
      <c r="U289" s="47"/>
      <c r="V289" s="47"/>
      <c r="W289" s="31"/>
      <c r="X289" s="31"/>
      <c r="Y289" s="31"/>
    </row>
    <row r="290" spans="1:25" ht="15.75" hidden="1" thickBot="1">
      <c r="A290" s="31"/>
      <c r="B290" s="556">
        <v>4</v>
      </c>
      <c r="C290" s="557">
        <f>canthormed</f>
        <v>36</v>
      </c>
      <c r="D290" s="328" t="s">
        <v>525</v>
      </c>
      <c r="E290" s="330">
        <f>indicesep26*punbashormed</f>
        <v>678852.98497638712</v>
      </c>
      <c r="F290" s="328"/>
      <c r="G290" s="558"/>
      <c r="H290" s="330">
        <f>indicejul26*punbashormed</f>
        <v>655896.60384192003</v>
      </c>
      <c r="I290" s="328"/>
      <c r="J290" s="558"/>
      <c r="K290" s="330">
        <f>indicemay26*punbashormed</f>
        <v>636792.81926400005</v>
      </c>
      <c r="L290" s="328"/>
      <c r="M290" s="558"/>
      <c r="N290" s="330">
        <f>indicedic25*punbashormed</f>
        <v>615258.64407461567</v>
      </c>
      <c r="O290" s="328"/>
      <c r="P290" s="558"/>
      <c r="Q290" s="330">
        <f>indicedic25*punbashormed</f>
        <v>615258.64407461567</v>
      </c>
      <c r="R290" s="328"/>
      <c r="S290" s="558"/>
      <c r="T290" s="31"/>
      <c r="U290" s="362"/>
      <c r="V290" s="31"/>
      <c r="W290" s="31"/>
      <c r="X290" s="31"/>
      <c r="Y290" s="31"/>
    </row>
    <row r="291" spans="1:25" ht="15.75" hidden="1" thickBot="1">
      <c r="A291" s="31"/>
      <c r="B291" s="559">
        <v>10</v>
      </c>
      <c r="C291" s="560">
        <f>porantighormed</f>
        <v>1.2</v>
      </c>
      <c r="D291" s="323" t="s">
        <v>475</v>
      </c>
      <c r="E291" s="325">
        <f>(E290)*porantighormed</f>
        <v>814623.58197166456</v>
      </c>
      <c r="F291" s="323"/>
      <c r="G291" s="561"/>
      <c r="H291" s="325">
        <f>(H290+H300)*porantighormed</f>
        <v>817075.92461030406</v>
      </c>
      <c r="I291" s="323"/>
      <c r="J291" s="561"/>
      <c r="K291" s="325">
        <f>(K290+K300)*porantighormed</f>
        <v>794151.38311679999</v>
      </c>
      <c r="L291" s="323"/>
      <c r="M291" s="561"/>
      <c r="N291" s="325">
        <f>(N290+N300)*porantighormed</f>
        <v>768310.37288953876</v>
      </c>
      <c r="O291" s="323"/>
      <c r="P291" s="561"/>
      <c r="Q291" s="325">
        <f>(Q290+Q300)*porantighormed</f>
        <v>768310.37288953876</v>
      </c>
      <c r="R291" s="323"/>
      <c r="S291" s="561"/>
      <c r="T291" s="31"/>
      <c r="U291" s="362"/>
      <c r="V291" s="31"/>
      <c r="W291" s="31"/>
      <c r="X291" s="31"/>
      <c r="Y291" s="31"/>
    </row>
    <row r="292" spans="1:25" ht="16.5" hidden="1" thickBot="1">
      <c r="A292" s="31"/>
      <c r="B292" s="556">
        <v>6</v>
      </c>
      <c r="C292" s="562">
        <f>IF(porantighormed&lt;100%,N292/4241.88,N292/4271.53)</f>
        <v>36</v>
      </c>
      <c r="D292" s="328" t="s">
        <v>474</v>
      </c>
      <c r="E292" s="330">
        <f>IF(porantighormed&lt;100%,IF(canthor06med&gt;36,36*4241.88,4241.88*canthor06med),IF(canthor06med&gt;36,36*4271.53,4271.53*canthor06med))*(1+Aumentoseptiembre26)</f>
        <v>169669.54137518996</v>
      </c>
      <c r="F292" s="563"/>
      <c r="G292" s="558"/>
      <c r="H292" s="330">
        <f>IF(porantighormed&lt;100%,IF(canthor06med&gt;36,36*4241.88,4241.88*canthor06med),IF(canthor06med&gt;36,36*4271.53,4271.53*canthor06med))*(1+Aumentojulio26)</f>
        <v>163931.92403399997</v>
      </c>
      <c r="I292" s="563"/>
      <c r="J292" s="558"/>
      <c r="K292" s="330">
        <f>IF(porantighormed&lt;100%,IF(canthor06med&gt;36,36*4241.88,4241.88*canthor06med),IF(canthor06med&gt;36,36*4271.53,4271.53*canthor06med))*(1+Aumentomayo26)</f>
        <v>159157.20779999997</v>
      </c>
      <c r="L292" s="563"/>
      <c r="M292" s="558"/>
      <c r="N292" s="330">
        <f>IF(porantighormed&lt;100%,IF(canthor06med&gt;36,36*4241.88,4241.88*canthor06med),IF(canthor06med&gt;36,36*4271.53,4271.53*canthor06med))</f>
        <v>153775.07999999999</v>
      </c>
      <c r="O292" s="563"/>
      <c r="P292" s="558"/>
      <c r="Q292" s="330">
        <f>IF(porantighormed&lt;100%,IF(canthor06med&gt;36,36*4241.88,4241.88*canthor06med),IF(canthor06med&gt;36,36*4271.53,4271.53*canthor06med))</f>
        <v>153775.07999999999</v>
      </c>
      <c r="R292" s="563"/>
      <c r="S292" s="558"/>
      <c r="T292" s="31"/>
      <c r="U292" s="362"/>
      <c r="V292" s="31"/>
      <c r="W292" s="31"/>
      <c r="X292" s="31"/>
      <c r="Y292" s="31"/>
    </row>
    <row r="293" spans="1:25" ht="15.75" hidden="1" thickBot="1">
      <c r="A293" s="31"/>
      <c r="B293" s="559">
        <v>14</v>
      </c>
      <c r="C293" s="361">
        <v>7.0000000000000007E-2</v>
      </c>
      <c r="D293" s="323" t="s">
        <v>526</v>
      </c>
      <c r="E293" s="325">
        <f>E292*0.07</f>
        <v>11876.867896263298</v>
      </c>
      <c r="F293" s="564"/>
      <c r="G293" s="561"/>
      <c r="H293" s="325">
        <f>H292*0.07</f>
        <v>11475.234682379998</v>
      </c>
      <c r="I293" s="564"/>
      <c r="J293" s="561"/>
      <c r="K293" s="325">
        <f>K292*0.07</f>
        <v>11141.004546</v>
      </c>
      <c r="L293" s="564"/>
      <c r="M293" s="561"/>
      <c r="N293" s="325">
        <f>N292*0.07</f>
        <v>10764.2556</v>
      </c>
      <c r="O293" s="564"/>
      <c r="P293" s="561"/>
      <c r="Q293" s="325">
        <f>Q292*0.07</f>
        <v>10764.2556</v>
      </c>
      <c r="R293" s="564"/>
      <c r="S293" s="561"/>
      <c r="T293" s="31"/>
      <c r="U293" s="362"/>
      <c r="V293" s="31"/>
      <c r="W293" s="31"/>
      <c r="X293" s="31"/>
      <c r="Y293" s="31"/>
    </row>
    <row r="294" spans="1:25" ht="15.75" hidden="1" thickBot="1">
      <c r="A294" s="140"/>
      <c r="B294" s="565">
        <v>18</v>
      </c>
      <c r="C294" s="566">
        <v>18</v>
      </c>
      <c r="D294" s="567" t="s">
        <v>527</v>
      </c>
      <c r="E294" s="567">
        <f>IF(canthormed&gt;18,67558,3753.222*canthormed)*IF(adichsmedia&gt;1,1,adichsmedia)</f>
        <v>67558</v>
      </c>
      <c r="F294" s="568"/>
      <c r="G294" s="569"/>
      <c r="H294" s="567">
        <f>IF(canthormed&gt;18,61229,3401.61111*canthormed)*IF(adichsmedia&gt;1,1,adichsmedia)*(1+Aumentojulio26)</f>
        <v>65273.175449999995</v>
      </c>
      <c r="I294" s="568"/>
      <c r="J294" s="569"/>
      <c r="K294" s="567">
        <f>IF(canthormed&gt;18,61229,3401.61111*canthormed)*IF(adichsmedia&gt;1,1,adichsmedia)*(1+Aumentomayo26)</f>
        <v>63372.014999999992</v>
      </c>
      <c r="L294" s="568"/>
      <c r="M294" s="569"/>
      <c r="N294" s="567">
        <f>IF(canthormed&gt;18,61229,3401.61111*canthormed)*IF(adichsmedia&gt;1,1,adichsmedia)</f>
        <v>61229</v>
      </c>
      <c r="O294" s="568"/>
      <c r="P294" s="569"/>
      <c r="Q294" s="567">
        <f>IF(canthormed&gt;18,61229,3401.61111*canthormed)*IF(adichsmedia&gt;1,1,adichsmedia)</f>
        <v>61229</v>
      </c>
      <c r="R294" s="568"/>
      <c r="S294" s="569"/>
      <c r="T294" s="140"/>
      <c r="U294" s="570"/>
      <c r="V294" s="140"/>
      <c r="W294" s="140"/>
      <c r="X294" s="140"/>
      <c r="Y294" s="140"/>
    </row>
    <row r="295" spans="1:25" ht="15.75" hidden="1" thickBot="1">
      <c r="A295" s="31"/>
      <c r="B295" s="556">
        <v>188</v>
      </c>
      <c r="C295" s="344">
        <v>7.0000000000000007E-2</v>
      </c>
      <c r="D295" s="328" t="s">
        <v>477</v>
      </c>
      <c r="E295" s="330">
        <f>(E290+E291+E294+E296+E298+E299+E300)*0.07</f>
        <v>122324.33968636362</v>
      </c>
      <c r="F295" s="571"/>
      <c r="G295" s="558"/>
      <c r="H295" s="330">
        <f>(H290+H291+H294+H296+H298+H299+H300)*0.07</f>
        <v>120346.9306516557</v>
      </c>
      <c r="I295" s="571"/>
      <c r="J295" s="558"/>
      <c r="K295" s="330">
        <f>(K290+K291+K294+K296+K298+K299+K300)*0.07</f>
        <v>116953.81616665603</v>
      </c>
      <c r="L295" s="571"/>
      <c r="M295" s="558"/>
      <c r="N295" s="330">
        <f>(N290+N291+N294+N296+N298+N299+N300)*0.07</f>
        <v>113129.03118749081</v>
      </c>
      <c r="O295" s="571"/>
      <c r="P295" s="558"/>
      <c r="Q295" s="330">
        <f>(Q290+Q291+Q294+Q296+Q298+Q299+Q300)*0.07</f>
        <v>113129.03118749081</v>
      </c>
      <c r="R295" s="571"/>
      <c r="S295" s="558"/>
      <c r="T295" s="31"/>
      <c r="U295" s="362"/>
      <c r="V295" s="31"/>
      <c r="W295" s="31"/>
      <c r="X295" s="31"/>
      <c r="Y295" s="31"/>
    </row>
    <row r="296" spans="1:25" ht="16.5" hidden="1" thickBot="1">
      <c r="A296" s="31"/>
      <c r="B296" s="559">
        <v>78</v>
      </c>
      <c r="C296" s="572">
        <f>C231</f>
        <v>0</v>
      </c>
      <c r="D296" s="323" t="s">
        <v>480</v>
      </c>
      <c r="E296" s="325">
        <f>(E290+E300)*porzonahsmed</f>
        <v>0</v>
      </c>
      <c r="F296" s="859"/>
      <c r="G296" s="561"/>
      <c r="H296" s="325">
        <f>(H290+H300)*porzonahsmed</f>
        <v>0</v>
      </c>
      <c r="I296" s="816"/>
      <c r="J296" s="561"/>
      <c r="K296" s="325">
        <f>(K290+K300)*porzonahsmed</f>
        <v>0</v>
      </c>
      <c r="L296" s="37"/>
      <c r="M296" s="561"/>
      <c r="N296" s="325">
        <f>(N290+N300)*porzonahsmed</f>
        <v>0</v>
      </c>
      <c r="O296" s="37"/>
      <c r="P296" s="561"/>
      <c r="Q296" s="325">
        <f>(Q290+Q300)*porzonahsmed</f>
        <v>0</v>
      </c>
      <c r="R296" s="37"/>
      <c r="S296" s="561"/>
      <c r="T296" s="31"/>
      <c r="U296" s="362"/>
      <c r="V296" s="31"/>
      <c r="W296" s="31"/>
      <c r="X296" s="31"/>
      <c r="Y296" s="31"/>
    </row>
    <row r="297" spans="1:25" ht="15.75" hidden="1" thickBot="1">
      <c r="A297" s="31"/>
      <c r="B297" s="556">
        <v>29</v>
      </c>
      <c r="C297" s="566">
        <f>cantkmhm</f>
        <v>0</v>
      </c>
      <c r="D297" s="328" t="s">
        <v>484</v>
      </c>
      <c r="E297" s="330">
        <f>kmsemhsmed*2128/15*4</f>
        <v>0</v>
      </c>
      <c r="F297" s="859"/>
      <c r="G297" s="558"/>
      <c r="H297" s="330">
        <f>kmsemhsmed*2128/15*4</f>
        <v>0</v>
      </c>
      <c r="I297" s="816"/>
      <c r="J297" s="558"/>
      <c r="K297" s="330">
        <f>kmsemhsmed*2128/15*4</f>
        <v>0</v>
      </c>
      <c r="L297" s="37"/>
      <c r="M297" s="558"/>
      <c r="N297" s="330">
        <f>kmsemhsmed*1820/15*4</f>
        <v>0</v>
      </c>
      <c r="O297" s="37"/>
      <c r="P297" s="558"/>
      <c r="Q297" s="330">
        <f>kmsemhsmed*1820/15*4</f>
        <v>0</v>
      </c>
      <c r="R297" s="37"/>
      <c r="S297" s="558"/>
      <c r="T297" s="31"/>
      <c r="U297" s="362"/>
      <c r="V297" s="31"/>
      <c r="W297" s="31"/>
      <c r="X297" s="31"/>
      <c r="Y297" s="31"/>
    </row>
    <row r="298" spans="1:25" ht="15.75" hidden="1" thickBot="1">
      <c r="A298" s="140"/>
      <c r="B298" s="565">
        <v>117</v>
      </c>
      <c r="C298" s="573"/>
      <c r="D298" s="573" t="s">
        <v>482</v>
      </c>
      <c r="E298" s="567">
        <f>IF(canthormed*1590.53&gt;47716,47716,canthormed*1590.53)</f>
        <v>47716</v>
      </c>
      <c r="F298" s="574"/>
      <c r="G298" s="575"/>
      <c r="H298" s="567">
        <f>IF(canthormed*1441.53333&gt;43246,43246,canthormed*1441.53333)*(1+Aumentojulio26)</f>
        <v>46102.398300000001</v>
      </c>
      <c r="I298" s="574"/>
      <c r="J298" s="575"/>
      <c r="K298" s="567">
        <f>IF(canthormed*1441.53333&gt;43246,43246,canthormed*1441.53333)*(1+Aumentomayo26)</f>
        <v>44759.609999999993</v>
      </c>
      <c r="L298" s="574"/>
      <c r="M298" s="575"/>
      <c r="N298" s="567">
        <f>IF(canthormed*1441.53333&gt;43246,43246,canthormed*1441.53333)</f>
        <v>43246</v>
      </c>
      <c r="O298" s="574"/>
      <c r="P298" s="575"/>
      <c r="Q298" s="567">
        <f>IF(canthormed*1441.53333&gt;43246,43246,canthormed*1441.53333)</f>
        <v>43246</v>
      </c>
      <c r="R298" s="574"/>
      <c r="S298" s="575"/>
      <c r="T298" s="140"/>
      <c r="U298" s="570"/>
      <c r="V298" s="140"/>
      <c r="W298" s="140"/>
      <c r="X298" s="140"/>
      <c r="Y298" s="140"/>
    </row>
    <row r="299" spans="1:25" ht="15.75" hidden="1" thickBot="1">
      <c r="A299" s="140"/>
      <c r="B299" s="576">
        <v>38</v>
      </c>
      <c r="C299" s="577">
        <f>C234</f>
        <v>15</v>
      </c>
      <c r="D299" s="578" t="s">
        <v>529</v>
      </c>
      <c r="E299" s="579">
        <f>IF($C299="",IF(canthormed&lt;15,7852.6666*canthormed,113740),IF($C299&lt;15,7852.6666*$C299,113740))</f>
        <v>113740</v>
      </c>
      <c r="F299" s="395"/>
      <c r="G299" s="580"/>
      <c r="H299" s="579">
        <f>IF($C299="",IF(canthormed&lt;15,6872.3333*canthormed,103085),IF($C299&lt;15,6872.3333*$C299,103085))*(1+Aumentojulio26)</f>
        <v>109893.76424999999</v>
      </c>
      <c r="I299" s="395"/>
      <c r="J299" s="580"/>
      <c r="K299" s="579">
        <f>IF($C299="",IF(canthormed&lt;15,6872.3333*canthormed,103085),IF($C299&lt;15,6872.3333*$C299,103085))*(1+Aumentomayo26)</f>
        <v>106692.97499999999</v>
      </c>
      <c r="L299" s="395"/>
      <c r="M299" s="580"/>
      <c r="N299" s="579">
        <f>IF($C299="",IF(canthormed&lt;15,6872.3333*canthormed,103085),IF($C299&lt;15,6872.3333*$C299,103085))</f>
        <v>103085</v>
      </c>
      <c r="O299" s="395"/>
      <c r="P299" s="580"/>
      <c r="Q299" s="579">
        <f>IF($C299="",IF(canthormed&lt;15,6872.3333*canthormed,103085),IF($C299&lt;15,6872.3333*$C299,103085))</f>
        <v>103085</v>
      </c>
      <c r="R299" s="395"/>
      <c r="S299" s="580"/>
      <c r="T299" s="140"/>
      <c r="U299" s="581"/>
      <c r="V299" s="140"/>
      <c r="W299" s="140"/>
      <c r="X299" s="140"/>
      <c r="Y299" s="140"/>
    </row>
    <row r="300" spans="1:25" ht="15.75" hidden="1" thickBot="1">
      <c r="A300" s="31"/>
      <c r="B300" s="357">
        <v>25</v>
      </c>
      <c r="C300" s="251">
        <f>C235</f>
        <v>1</v>
      </c>
      <c r="D300" s="358" t="s">
        <v>483</v>
      </c>
      <c r="E300" s="582">
        <f>IF(AND(porantighormed&gt;=0.5,$C300=1),IF(canthormed&gt;15,25000,1666.6666*canthormed),0)</f>
        <v>25000</v>
      </c>
      <c r="F300" s="323"/>
      <c r="G300" s="583"/>
      <c r="H300" s="582">
        <f>IF(AND(porantighormed&gt;=0.5,$C300=1),IF(canthormed&gt;15,25000,1666.6666*canthormed),0)</f>
        <v>25000</v>
      </c>
      <c r="I300" s="323"/>
      <c r="J300" s="583"/>
      <c r="K300" s="582">
        <f>IF(AND(porantighormed&gt;=0.5,$C300=1),IF(canthormed&gt;15,25000,1666.6666*canthormed),0)</f>
        <v>25000</v>
      </c>
      <c r="L300" s="323"/>
      <c r="M300" s="583"/>
      <c r="N300" s="582">
        <f>IF(AND(porantighormed&gt;=0.5,$C300=1),IF(canthormed&gt;15,25000,1666.6666*canthormed),0)</f>
        <v>25000</v>
      </c>
      <c r="O300" s="323"/>
      <c r="P300" s="583"/>
      <c r="Q300" s="582">
        <f>IF(AND(porantighormed&gt;=0.5,$C300=1),IF(canthormed&gt;15,25000,1666.6666*canthormed),0)</f>
        <v>25000</v>
      </c>
      <c r="R300" s="323"/>
      <c r="S300" s="583"/>
      <c r="T300" s="31"/>
      <c r="U300" s="584"/>
      <c r="V300" s="31"/>
      <c r="W300" s="31"/>
      <c r="X300" s="31"/>
      <c r="Y300" s="31"/>
    </row>
    <row r="301" spans="1:25" ht="15.75" hidden="1" thickBot="1">
      <c r="A301" s="31"/>
      <c r="B301" s="357">
        <v>32</v>
      </c>
      <c r="C301" s="251"/>
      <c r="D301" s="358" t="s">
        <v>571</v>
      </c>
      <c r="E301" s="582">
        <f>E300*porantighormed</f>
        <v>30000</v>
      </c>
      <c r="F301" s="323"/>
      <c r="G301" s="583"/>
      <c r="H301" s="582"/>
      <c r="I301" s="323"/>
      <c r="J301" s="583"/>
      <c r="K301" s="582"/>
      <c r="L301" s="323"/>
      <c r="M301" s="583"/>
      <c r="N301" s="582"/>
      <c r="O301" s="323"/>
      <c r="P301" s="583"/>
      <c r="Q301" s="582"/>
      <c r="R301" s="323"/>
      <c r="S301" s="583"/>
      <c r="T301" s="31"/>
      <c r="U301" s="584"/>
      <c r="V301" s="31"/>
      <c r="W301" s="31"/>
      <c r="X301" s="31"/>
      <c r="Y301" s="31"/>
    </row>
    <row r="302" spans="1:25" ht="16.5" hidden="1" thickBot="1">
      <c r="A302" s="31"/>
      <c r="B302" s="559"/>
      <c r="C302" s="585"/>
      <c r="D302" s="369" t="s">
        <v>530</v>
      </c>
      <c r="E302" s="586">
        <f>SUM(E290:E301)</f>
        <v>2081361.3159058685</v>
      </c>
      <c r="F302" s="861"/>
      <c r="G302" s="587"/>
      <c r="H302" s="586">
        <f>SUM(H290:H300)</f>
        <v>2014995.9558202596</v>
      </c>
      <c r="I302" s="861"/>
      <c r="J302" s="587"/>
      <c r="K302" s="586">
        <f>SUM(K290:K300)</f>
        <v>1958020.8308934562</v>
      </c>
      <c r="L302" s="861"/>
      <c r="M302" s="587"/>
      <c r="N302" s="586">
        <f>SUM(N290:N300)</f>
        <v>1893797.3837516452</v>
      </c>
      <c r="O302" s="323"/>
      <c r="P302" s="587"/>
      <c r="Q302" s="586">
        <f>SUM(Q290:Q300)</f>
        <v>1893797.3837516452</v>
      </c>
      <c r="R302" s="323"/>
      <c r="S302" s="587"/>
      <c r="T302" s="31"/>
      <c r="U302" s="584"/>
      <c r="V302" s="31"/>
      <c r="W302" s="31"/>
      <c r="X302" s="31"/>
      <c r="Y302" s="31"/>
    </row>
    <row r="303" spans="1:25" ht="15.75" hidden="1" thickBot="1">
      <c r="A303" s="31"/>
      <c r="B303" s="588" t="s">
        <v>531</v>
      </c>
      <c r="C303" s="323"/>
      <c r="D303" s="323"/>
      <c r="E303" s="589">
        <f>E239</f>
        <v>0</v>
      </c>
      <c r="F303" s="395"/>
      <c r="G303" s="590"/>
      <c r="H303" s="589">
        <f>H239</f>
        <v>0</v>
      </c>
      <c r="I303" s="395"/>
      <c r="J303" s="590"/>
      <c r="K303" s="589">
        <f>K239</f>
        <v>0</v>
      </c>
      <c r="L303" s="395"/>
      <c r="M303" s="590"/>
      <c r="N303" s="589">
        <f>N239</f>
        <v>0</v>
      </c>
      <c r="O303" s="395"/>
      <c r="P303" s="590"/>
      <c r="Q303" s="589">
        <f>Q239</f>
        <v>0</v>
      </c>
      <c r="R303" s="395"/>
      <c r="S303" s="590"/>
      <c r="T303" s="31"/>
      <c r="U303" s="584"/>
      <c r="V303" s="31"/>
      <c r="W303" s="31"/>
      <c r="X303" s="31"/>
      <c r="Y303" s="31"/>
    </row>
    <row r="304" spans="1:25" ht="16.5" hidden="1" thickBot="1">
      <c r="A304" s="31"/>
      <c r="B304" s="559">
        <v>184</v>
      </c>
      <c r="C304" s="837">
        <f>N304/2450.16</f>
        <v>29.999999999999996</v>
      </c>
      <c r="D304" s="323" t="s">
        <v>488</v>
      </c>
      <c r="E304" s="325">
        <f>IF(canthorincmed*3404.67&gt;102139,102139,canthorincmed*3404.67)+IF(canthorincmed*2400&gt;36000,36000,canthorincmed*2400)</f>
        <v>138139</v>
      </c>
      <c r="F304" s="859"/>
      <c r="G304" s="561"/>
      <c r="H304" s="325">
        <f>IF(canthorincmed*3404.67&gt;102139,102139,canthorincmed*3404.67)+IF(canthorincmed*2400&gt;36000,36000,canthorincmed*2400)</f>
        <v>138139</v>
      </c>
      <c r="I304" s="816"/>
      <c r="J304" s="561"/>
      <c r="K304" s="325">
        <f>IF(canthorincmed*2450.16&gt;73504.8,73504.8,canthorincmed*2450.16)</f>
        <v>73504.799999999988</v>
      </c>
      <c r="L304" s="37"/>
      <c r="M304" s="561"/>
      <c r="N304" s="325">
        <f>IF(canthorincmed*2450.16&gt;73504.8,73504.8,canthorincmed*2450.16)</f>
        <v>73504.799999999988</v>
      </c>
      <c r="O304" s="37"/>
      <c r="P304" s="561"/>
      <c r="Q304" s="325">
        <f>IF(canthorincmed*2450.16&gt;73504.8,73504.8,canthorincmed*2450.16)</f>
        <v>73504.799999999988</v>
      </c>
      <c r="R304" s="37"/>
      <c r="S304" s="561"/>
      <c r="T304" s="31"/>
      <c r="U304" s="362"/>
      <c r="V304" s="31"/>
      <c r="W304" s="31"/>
      <c r="X304" s="31"/>
      <c r="Y304" s="31"/>
    </row>
    <row r="305" spans="1:25" ht="16.5" hidden="1" thickBot="1">
      <c r="A305" s="31"/>
      <c r="B305" s="559">
        <v>204</v>
      </c>
      <c r="C305" s="837">
        <f>N305/1830.24</f>
        <v>30</v>
      </c>
      <c r="D305" s="323" t="s">
        <v>489</v>
      </c>
      <c r="E305" s="325">
        <f>IF(canthorincmed*2543.27&gt;76297,76297,canthorincmed*2543.27)+IF(canthorincmed*1600&gt;24000,24000,canthorincmed*1600)</f>
        <v>100297</v>
      </c>
      <c r="F305" s="591"/>
      <c r="G305" s="561"/>
      <c r="H305" s="325">
        <f>IF(canthorincmed*2543.27&gt;76297,76297,canthorincmed*2543.27)+IF(canthorincmed*1600&gt;24000,24000,canthorincmed*1600)</f>
        <v>100297</v>
      </c>
      <c r="I305" s="591"/>
      <c r="J305" s="561"/>
      <c r="K305" s="325">
        <f>IF(canthorincmed*1830.24&gt;54907.2,54907.2,canthorincmed*1830.24)</f>
        <v>54907.199999999997</v>
      </c>
      <c r="L305" s="591"/>
      <c r="M305" s="561"/>
      <c r="N305" s="325">
        <f>IF(canthorincmed*1830.24&gt;54907.2,54907.2,canthorincmed*1830.24)</f>
        <v>54907.199999999997</v>
      </c>
      <c r="O305" s="591"/>
      <c r="P305" s="561"/>
      <c r="Q305" s="325">
        <f>IF(canthorincmed*1830.24&gt;54907.2,54907.2,canthorincmed*1830.24)</f>
        <v>54907.199999999997</v>
      </c>
      <c r="R305" s="591"/>
      <c r="S305" s="561"/>
      <c r="T305" s="31"/>
      <c r="U305" s="362"/>
      <c r="V305" s="31"/>
      <c r="W305" s="31"/>
      <c r="X305" s="31"/>
      <c r="Y305" s="31"/>
    </row>
    <row r="306" spans="1:25" ht="16.5" hidden="1" thickBot="1">
      <c r="A306" s="31"/>
      <c r="B306" s="559">
        <v>234</v>
      </c>
      <c r="C306" s="837">
        <f>K306/2400</f>
        <v>15</v>
      </c>
      <c r="D306" s="323" t="s">
        <v>549</v>
      </c>
      <c r="E306" s="339"/>
      <c r="F306" s="591"/>
      <c r="G306" s="561"/>
      <c r="H306" s="339"/>
      <c r="I306" s="591"/>
      <c r="J306" s="561"/>
      <c r="K306" s="339">
        <f>IF(canthorincmed*2400&gt;36000,36000,canthorincmed*2400)</f>
        <v>36000</v>
      </c>
      <c r="L306" s="591"/>
      <c r="M306" s="561"/>
      <c r="N306" s="339">
        <f>IF(canthorincmed*2400&gt;36000,36000,canthorincmed*2400)</f>
        <v>36000</v>
      </c>
      <c r="O306" s="591"/>
      <c r="P306" s="561"/>
      <c r="Q306" s="325"/>
      <c r="R306" s="591"/>
      <c r="S306" s="561"/>
      <c r="T306" s="31"/>
      <c r="U306" s="362"/>
      <c r="V306" s="31"/>
      <c r="W306" s="31"/>
      <c r="X306" s="31"/>
      <c r="Y306" s="31"/>
    </row>
    <row r="307" spans="1:25" ht="16.5" hidden="1" thickBot="1">
      <c r="A307" s="31"/>
      <c r="B307" s="559">
        <v>244</v>
      </c>
      <c r="C307" s="837">
        <f>K307/1600</f>
        <v>15</v>
      </c>
      <c r="D307" s="323" t="s">
        <v>550</v>
      </c>
      <c r="E307" s="325"/>
      <c r="F307" s="323"/>
      <c r="G307" s="561"/>
      <c r="H307" s="325"/>
      <c r="I307" s="323"/>
      <c r="J307" s="561"/>
      <c r="K307" s="325">
        <f>IF(canthorincmed*1600&gt;24000,24000,canthorincmed*1600)</f>
        <v>24000</v>
      </c>
      <c r="L307" s="323"/>
      <c r="M307" s="561"/>
      <c r="N307" s="325">
        <f>IF(canthorincmed*1600&gt;24000,24000,canthorincmed*1600)</f>
        <v>24000</v>
      </c>
      <c r="O307" s="323"/>
      <c r="P307" s="561"/>
      <c r="Q307" s="267"/>
      <c r="R307" s="323"/>
      <c r="S307" s="561"/>
      <c r="T307" s="31"/>
      <c r="U307" s="584"/>
      <c r="V307" s="31"/>
      <c r="W307" s="31"/>
      <c r="X307" s="31"/>
      <c r="Y307" s="31"/>
    </row>
    <row r="308" spans="1:25" ht="16.5" hidden="1" thickBot="1">
      <c r="A308" s="31"/>
      <c r="B308" s="344"/>
      <c r="C308" s="371" t="s">
        <v>532</v>
      </c>
      <c r="D308" s="371"/>
      <c r="E308" s="592">
        <f>SUM(E302:E307)</f>
        <v>2319797.3159058685</v>
      </c>
      <c r="F308" s="328"/>
      <c r="G308" s="593"/>
      <c r="H308" s="592">
        <f>SUM(H302:H307)</f>
        <v>2253431.9558202596</v>
      </c>
      <c r="I308" s="328"/>
      <c r="J308" s="593"/>
      <c r="K308" s="592">
        <f>SUM(K302:K307)</f>
        <v>2146432.830893456</v>
      </c>
      <c r="L308" s="328"/>
      <c r="M308" s="593"/>
      <c r="N308" s="592">
        <f>SUM(N302:N307)</f>
        <v>2082209.3837516452</v>
      </c>
      <c r="O308" s="328"/>
      <c r="P308" s="593"/>
      <c r="Q308" s="592">
        <f>SUM(Q302:Q307)</f>
        <v>2022209.3837516452</v>
      </c>
      <c r="R308" s="328"/>
      <c r="S308" s="593"/>
      <c r="T308" s="31"/>
      <c r="U308" s="399"/>
      <c r="V308" s="31"/>
      <c r="W308" s="31"/>
      <c r="X308" s="31"/>
      <c r="Y308" s="31"/>
    </row>
    <row r="309" spans="1:25" ht="21" hidden="1" thickBot="1">
      <c r="A309" s="31"/>
      <c r="B309" s="361">
        <v>440</v>
      </c>
      <c r="C309" s="321"/>
      <c r="D309" s="323" t="s">
        <v>491</v>
      </c>
      <c r="E309" s="594">
        <f>E245</f>
        <v>0</v>
      </c>
      <c r="F309" s="361">
        <f>-E309</f>
        <v>0</v>
      </c>
      <c r="G309" s="561"/>
      <c r="H309" s="594">
        <f>H245</f>
        <v>0</v>
      </c>
      <c r="I309" s="361">
        <f>-H309</f>
        <v>0</v>
      </c>
      <c r="J309" s="561"/>
      <c r="K309" s="594">
        <f>K245</f>
        <v>0</v>
      </c>
      <c r="L309" s="361">
        <f>-K309</f>
        <v>0</v>
      </c>
      <c r="M309" s="561"/>
      <c r="N309" s="594">
        <f>N245</f>
        <v>0</v>
      </c>
      <c r="O309" s="361">
        <f>-N309</f>
        <v>0</v>
      </c>
      <c r="P309" s="561"/>
      <c r="Q309" s="594">
        <f>Q245</f>
        <v>0</v>
      </c>
      <c r="R309" s="361">
        <f>-Q309</f>
        <v>0</v>
      </c>
      <c r="S309" s="561"/>
      <c r="T309" s="31"/>
      <c r="U309" s="584"/>
      <c r="V309" s="71"/>
      <c r="W309" s="31"/>
      <c r="X309" s="31"/>
      <c r="Y309" s="31"/>
    </row>
    <row r="310" spans="1:25" ht="15.75" hidden="1" thickBot="1">
      <c r="A310" s="31"/>
      <c r="B310" s="344">
        <v>502</v>
      </c>
      <c r="C310" s="373">
        <v>0.16</v>
      </c>
      <c r="D310" s="330" t="s">
        <v>533</v>
      </c>
      <c r="E310" s="330"/>
      <c r="F310" s="344">
        <f>-(E290+E291+E295+E296+E292+E293+E294+F309+E298+E299+E300)*0.19</f>
        <v>-389758.65002211503</v>
      </c>
      <c r="G310" s="595"/>
      <c r="H310" s="330"/>
      <c r="I310" s="344">
        <f>-(H290+H291+H295+H296+H292+H293+H294+I309+H298+H299+H300)*0.19</f>
        <v>-382849.23160584935</v>
      </c>
      <c r="J310" s="595"/>
      <c r="K310" s="330"/>
      <c r="L310" s="344">
        <f>-(K290+K291+K295+K296+K292+K293+K294+L309+K298+K299+K300)*0.19</f>
        <v>-372023.95786975668</v>
      </c>
      <c r="M310" s="595"/>
      <c r="N310" s="330"/>
      <c r="O310" s="344">
        <f>-(N290+N291+N295+N296+N292+N293+N294+O309+N298+N299+N300)*0.19</f>
        <v>-359821.50291281258</v>
      </c>
      <c r="P310" s="595"/>
      <c r="Q310" s="330"/>
      <c r="R310" s="344">
        <f>-(Q290+Q291+Q295+Q296+Q292+Q293+Q294+R309+Q298+Q299+Q300)*0.19</f>
        <v>-359821.50291281258</v>
      </c>
      <c r="S310" s="595"/>
      <c r="T310" s="31"/>
      <c r="U310" s="362"/>
      <c r="V310" s="31"/>
      <c r="W310" s="31"/>
      <c r="X310" s="31"/>
      <c r="Y310" s="31"/>
    </row>
    <row r="311" spans="1:25" ht="15.75" hidden="1" thickBot="1">
      <c r="A311" s="31"/>
      <c r="B311" s="344">
        <v>505</v>
      </c>
      <c r="C311" s="596">
        <v>0.03</v>
      </c>
      <c r="D311" s="330" t="s">
        <v>534</v>
      </c>
      <c r="E311" s="330"/>
      <c r="F311" s="344">
        <f>-(E290+E291+E295+E296+E292+E293+E294+F309+E298+E299+E300)*0.03</f>
        <v>-61540.83947717605</v>
      </c>
      <c r="G311" s="595"/>
      <c r="H311" s="330"/>
      <c r="I311" s="344">
        <f>-(H290+H291+H295+H296+H292+H293+H294+I309+H298+H299+H300)*0.03</f>
        <v>-60449.878674607789</v>
      </c>
      <c r="J311" s="595"/>
      <c r="K311" s="330"/>
      <c r="L311" s="344">
        <f>-(K290+K291+K295+K296+K292+K293+K294+L309+K298+K299+K300)*0.03</f>
        <v>-58740.624926803685</v>
      </c>
      <c r="M311" s="595"/>
      <c r="N311" s="330"/>
      <c r="O311" s="344">
        <f>-(N290+N291+N295+N296+N292+N293+N294+O309+N298+N299+N300)*0.03</f>
        <v>-56813.921512549357</v>
      </c>
      <c r="P311" s="595"/>
      <c r="Q311" s="330"/>
      <c r="R311" s="344">
        <f>-(Q290+Q291+Q295+Q296+Q292+Q293+Q294+R309+Q298+Q299+Q300)*0.03</f>
        <v>-56813.921512549357</v>
      </c>
      <c r="S311" s="595"/>
      <c r="T311" s="31"/>
      <c r="U311" s="362"/>
      <c r="V311" s="31"/>
      <c r="W311" s="31"/>
      <c r="X311" s="31"/>
      <c r="Y311" s="31"/>
    </row>
    <row r="312" spans="1:25" ht="16.5" hidden="1" thickBot="1">
      <c r="A312" s="31"/>
      <c r="B312" s="379">
        <v>332</v>
      </c>
      <c r="C312" s="572">
        <f>C248</f>
        <v>0</v>
      </c>
      <c r="D312" s="325" t="s">
        <v>496</v>
      </c>
      <c r="E312" s="325"/>
      <c r="F312" s="361">
        <f>-(E290+E291+E295+E292+E296+E294+E293+E294+F309+E298+E299+E300)*$C312</f>
        <v>0</v>
      </c>
      <c r="G312" s="597"/>
      <c r="H312" s="325"/>
      <c r="I312" s="361">
        <f>-(H290+H291+H295+H292+H296+H294+H293+H294+I309+H298+H299+H300)*$C312</f>
        <v>0</v>
      </c>
      <c r="J312" s="597"/>
      <c r="K312" s="325"/>
      <c r="L312" s="361">
        <f>-(K290+K291+K295+K292+K296+K294+K293+K294+L309+K298+K299+K300)*$C312</f>
        <v>0</v>
      </c>
      <c r="M312" s="597"/>
      <c r="N312" s="325"/>
      <c r="O312" s="361">
        <f>-(N290+N291+N295+N292+N296+N294+N293+N294+O309+N298+N299+N300)*$C312</f>
        <v>0</v>
      </c>
      <c r="P312" s="597"/>
      <c r="Q312" s="325"/>
      <c r="R312" s="361">
        <f>-(Q290+Q291+Q295+Q292+Q296+Q294+Q293+Q294+R309+Q298+Q299+Q300)*$C312</f>
        <v>0</v>
      </c>
      <c r="S312" s="597"/>
      <c r="T312" s="31"/>
      <c r="U312" s="362"/>
      <c r="V312" s="31"/>
      <c r="W312" s="31"/>
      <c r="X312" s="31"/>
      <c r="Y312" s="31"/>
    </row>
    <row r="313" spans="1:25" ht="16.5" hidden="1" thickBot="1">
      <c r="A313" s="31"/>
      <c r="B313" s="363" t="s">
        <v>497</v>
      </c>
      <c r="C313" s="572">
        <f>C249</f>
        <v>0</v>
      </c>
      <c r="D313" s="328"/>
      <c r="E313" s="328"/>
      <c r="F313" s="344">
        <f>-(E290+E291+E295+E296+E292+E293+E294+F309+E298)*$C313</f>
        <v>0</v>
      </c>
      <c r="G313" s="558"/>
      <c r="H313" s="328"/>
      <c r="I313" s="344">
        <f>-(H290+H291+H295+H296+H292+H293+H294+I309+H298)*$C313</f>
        <v>0</v>
      </c>
      <c r="J313" s="558"/>
      <c r="K313" s="328"/>
      <c r="L313" s="344">
        <f>-(K290+K291+K295+K296+K292+K293+K294+L309+K298)*$C313</f>
        <v>0</v>
      </c>
      <c r="M313" s="558"/>
      <c r="N313" s="328"/>
      <c r="O313" s="344">
        <f>-(N290+N291+N295+N296+N292+N293+N294+O309+N298)*$C313</f>
        <v>0</v>
      </c>
      <c r="P313" s="558"/>
      <c r="Q313" s="328"/>
      <c r="R313" s="344">
        <f>-(Q290+Q291+Q295+Q296+Q292+Q293+Q294+R309+Q298)*$C313</f>
        <v>0</v>
      </c>
      <c r="S313" s="558"/>
      <c r="T313" s="31"/>
      <c r="U313" s="31"/>
      <c r="V313" s="31"/>
      <c r="W313" s="31"/>
      <c r="X313" s="31"/>
      <c r="Y313" s="31"/>
    </row>
    <row r="314" spans="1:25" ht="16.5" hidden="1" thickBot="1">
      <c r="A314" s="31"/>
      <c r="B314" s="321"/>
      <c r="C314" s="321"/>
      <c r="D314" s="384" t="s">
        <v>498</v>
      </c>
      <c r="E314" s="321"/>
      <c r="F314" s="264">
        <f>SUM(F310:F313)</f>
        <v>-451299.48949929106</v>
      </c>
      <c r="G314" s="598"/>
      <c r="H314" s="321"/>
      <c r="I314" s="264">
        <f>SUM(I310:I313)</f>
        <v>-443299.11028045713</v>
      </c>
      <c r="J314" s="598"/>
      <c r="K314" s="321"/>
      <c r="L314" s="264">
        <f>SUM(L310:L313)</f>
        <v>-430764.58279656037</v>
      </c>
      <c r="M314" s="598"/>
      <c r="N314" s="321"/>
      <c r="O314" s="264">
        <f>SUM(O310:O313)</f>
        <v>-416635.42442536191</v>
      </c>
      <c r="P314" s="598"/>
      <c r="Q314" s="321"/>
      <c r="R314" s="264">
        <f>SUM(R310:R313)</f>
        <v>-416635.42442536191</v>
      </c>
      <c r="S314" s="598"/>
      <c r="T314" s="31"/>
      <c r="U314" s="47"/>
      <c r="V314" s="47"/>
      <c r="W314" s="31"/>
      <c r="X314" s="31"/>
      <c r="Y314" s="31"/>
    </row>
    <row r="315" spans="1:25" ht="15.75" hidden="1" thickBot="1">
      <c r="A315" s="31"/>
      <c r="B315" s="361"/>
      <c r="C315" s="323"/>
      <c r="D315" s="323"/>
      <c r="E315" s="323"/>
      <c r="F315" s="323"/>
      <c r="G315" s="561"/>
      <c r="H315" s="323"/>
      <c r="I315" s="323"/>
      <c r="J315" s="561"/>
      <c r="K315" s="323"/>
      <c r="L315" s="323"/>
      <c r="M315" s="561"/>
      <c r="N315" s="323"/>
      <c r="O315" s="323"/>
      <c r="P315" s="561"/>
      <c r="Q315" s="323"/>
      <c r="R315" s="323"/>
      <c r="S315" s="561"/>
      <c r="T315" s="31"/>
      <c r="U315" s="31"/>
      <c r="V315" s="31"/>
      <c r="W315" s="31"/>
      <c r="X315" s="31"/>
      <c r="Y315" s="31"/>
    </row>
    <row r="316" spans="1:25" ht="24" hidden="1" thickBot="1">
      <c r="A316" s="31"/>
      <c r="B316" s="361"/>
      <c r="C316" s="323"/>
      <c r="D316" s="384"/>
      <c r="E316" s="384" t="s">
        <v>502</v>
      </c>
      <c r="F316" s="385">
        <f>E308+F314</f>
        <v>1868497.8264065776</v>
      </c>
      <c r="G316" s="598"/>
      <c r="H316" s="384" t="s">
        <v>502</v>
      </c>
      <c r="I316" s="385">
        <f>H308+I314</f>
        <v>1810132.8455398025</v>
      </c>
      <c r="J316" s="598"/>
      <c r="K316" s="384" t="s">
        <v>502</v>
      </c>
      <c r="L316" s="385">
        <f>K308+L314</f>
        <v>1715668.2480968956</v>
      </c>
      <c r="M316" s="598"/>
      <c r="N316" s="384" t="s">
        <v>502</v>
      </c>
      <c r="O316" s="385">
        <f>N308+O314</f>
        <v>1665573.9593262833</v>
      </c>
      <c r="P316" s="598"/>
      <c r="Q316" s="384" t="s">
        <v>502</v>
      </c>
      <c r="R316" s="385">
        <f>Q308+R314</f>
        <v>1605573.9593262833</v>
      </c>
      <c r="S316" s="598"/>
      <c r="T316" s="599"/>
      <c r="U316" s="31"/>
      <c r="V316" s="31"/>
      <c r="W316" s="31"/>
      <c r="X316" s="31"/>
      <c r="Y316" s="31"/>
    </row>
    <row r="317" spans="1:25" ht="24" hidden="1" thickBot="1">
      <c r="A317" s="31"/>
      <c r="B317" s="600"/>
      <c r="C317" s="323"/>
      <c r="D317" s="384"/>
      <c r="E317" s="384"/>
      <c r="F317" s="601"/>
      <c r="G317" s="598"/>
      <c r="H317" s="384"/>
      <c r="I317" s="601"/>
      <c r="J317" s="598"/>
      <c r="K317" s="384"/>
      <c r="L317" s="601"/>
      <c r="M317" s="598"/>
      <c r="N317" s="384"/>
      <c r="O317" s="601"/>
      <c r="P317" s="598"/>
      <c r="Q317" s="384"/>
      <c r="R317" s="601"/>
      <c r="S317" s="598"/>
      <c r="T317" s="31"/>
      <c r="U317" s="91"/>
      <c r="V317" s="599"/>
      <c r="W317" s="31"/>
      <c r="X317" s="31"/>
      <c r="Y317" s="31"/>
    </row>
    <row r="318" spans="1:25" ht="18.75" hidden="1" thickBot="1">
      <c r="A318" s="31"/>
      <c r="B318" s="379"/>
      <c r="C318" s="384"/>
      <c r="D318" s="602"/>
      <c r="E318" s="389" t="s">
        <v>504</v>
      </c>
      <c r="F318" s="390">
        <f>F316-I316</f>
        <v>58364.980866775149</v>
      </c>
      <c r="G318" s="603"/>
      <c r="H318" s="389" t="s">
        <v>504</v>
      </c>
      <c r="I318" s="390">
        <f>I316-L316</f>
        <v>94464.597442906816</v>
      </c>
      <c r="J318" s="603"/>
      <c r="K318" s="389" t="s">
        <v>504</v>
      </c>
      <c r="L318" s="390">
        <f>L316-O316</f>
        <v>50094.288770612329</v>
      </c>
      <c r="M318" s="603"/>
      <c r="N318" s="389" t="s">
        <v>504</v>
      </c>
      <c r="O318" s="390">
        <f>O316-R316</f>
        <v>60000</v>
      </c>
      <c r="P318" s="603"/>
      <c r="Q318" s="389" t="s">
        <v>504</v>
      </c>
      <c r="R318" s="390"/>
      <c r="S318" s="603"/>
      <c r="T318" s="604"/>
      <c r="U318" s="394"/>
      <c r="V318" s="393"/>
      <c r="W318" s="604"/>
      <c r="X318" s="31"/>
      <c r="Y318" s="31"/>
    </row>
    <row r="319" spans="1:25" ht="18.75" hidden="1" thickBot="1">
      <c r="A319" s="31"/>
      <c r="B319" s="379"/>
      <c r="C319" s="384"/>
      <c r="D319" s="602"/>
      <c r="E319" s="389" t="s">
        <v>505</v>
      </c>
      <c r="F319" s="392">
        <f>F318/I316</f>
        <v>3.2243479262081473E-2</v>
      </c>
      <c r="G319" s="603"/>
      <c r="H319" s="389" t="s">
        <v>505</v>
      </c>
      <c r="I319" s="392">
        <f>I318/L316</f>
        <v>5.5059943871836318E-2</v>
      </c>
      <c r="J319" s="603"/>
      <c r="K319" s="389" t="s">
        <v>505</v>
      </c>
      <c r="L319" s="392">
        <f>L318/O316</f>
        <v>3.0076292013400133E-2</v>
      </c>
      <c r="M319" s="603"/>
      <c r="N319" s="389" t="s">
        <v>505</v>
      </c>
      <c r="O319" s="392">
        <f>O318/R316</f>
        <v>3.7369813860942708E-2</v>
      </c>
      <c r="P319" s="603"/>
      <c r="Q319" s="389" t="s">
        <v>505</v>
      </c>
      <c r="R319" s="392"/>
      <c r="S319" s="603"/>
      <c r="T319" s="604"/>
      <c r="U319" s="394"/>
      <c r="V319" s="393"/>
      <c r="W319" s="604"/>
      <c r="X319" s="31"/>
      <c r="Y319" s="31"/>
    </row>
    <row r="320" spans="1:25" ht="18.75" hidden="1" thickBot="1">
      <c r="A320" s="31"/>
      <c r="B320" s="379"/>
      <c r="C320" s="384"/>
      <c r="D320" s="602"/>
      <c r="E320" s="395"/>
      <c r="F320" s="605"/>
      <c r="G320" s="602"/>
      <c r="H320" s="395"/>
      <c r="I320" s="605"/>
      <c r="J320" s="602"/>
      <c r="K320" s="395"/>
      <c r="L320" s="605"/>
      <c r="M320" s="602"/>
      <c r="N320" s="395"/>
      <c r="O320" s="605"/>
      <c r="P320" s="602"/>
      <c r="Q320" s="395"/>
      <c r="R320" s="605"/>
      <c r="S320" s="602"/>
      <c r="T320" s="604"/>
      <c r="U320" s="394"/>
      <c r="V320" s="393"/>
      <c r="W320" s="604"/>
      <c r="X320" s="31"/>
      <c r="Y320" s="31"/>
    </row>
    <row r="321" spans="1:25" ht="18.75" hidden="1" thickBot="1">
      <c r="A321" s="31"/>
      <c r="B321" s="379"/>
      <c r="C321" s="384"/>
      <c r="D321" s="602"/>
      <c r="E321" s="400" t="s">
        <v>535</v>
      </c>
      <c r="F321" s="401">
        <f>F316-$R316</f>
        <v>262923.86708029429</v>
      </c>
      <c r="G321" s="372"/>
      <c r="H321" s="400" t="s">
        <v>535</v>
      </c>
      <c r="I321" s="401">
        <f>I316-$R316</f>
        <v>204558.88621351914</v>
      </c>
      <c r="J321" s="372"/>
      <c r="K321" s="400" t="s">
        <v>535</v>
      </c>
      <c r="L321" s="401">
        <f>L316-$R316</f>
        <v>110094.28877061233</v>
      </c>
      <c r="M321" s="372"/>
      <c r="N321" s="400" t="s">
        <v>535</v>
      </c>
      <c r="O321" s="401">
        <f>O316-$R316</f>
        <v>60000</v>
      </c>
      <c r="P321" s="372"/>
      <c r="Q321" s="400" t="s">
        <v>535</v>
      </c>
      <c r="R321" s="401"/>
      <c r="S321" s="372"/>
      <c r="T321" s="604"/>
      <c r="U321" s="394"/>
      <c r="V321" s="393"/>
      <c r="W321" s="604"/>
      <c r="X321" s="31"/>
      <c r="Y321" s="31"/>
    </row>
    <row r="322" spans="1:25" ht="18.75" hidden="1" thickBot="1">
      <c r="A322" s="31"/>
      <c r="B322" s="379"/>
      <c r="C322" s="384"/>
      <c r="D322" s="602"/>
      <c r="E322" s="400" t="s">
        <v>507</v>
      </c>
      <c r="F322" s="402">
        <f>F321/$R316</f>
        <v>0.16375693287316398</v>
      </c>
      <c r="G322" s="372"/>
      <c r="H322" s="400" t="s">
        <v>507</v>
      </c>
      <c r="I322" s="402">
        <f>I321/$R316</f>
        <v>0.12740545835668282</v>
      </c>
      <c r="J322" s="372"/>
      <c r="K322" s="400" t="s">
        <v>507</v>
      </c>
      <c r="L322" s="402">
        <f>L321/$R316</f>
        <v>6.857005130851096E-2</v>
      </c>
      <c r="M322" s="372"/>
      <c r="N322" s="400" t="s">
        <v>507</v>
      </c>
      <c r="O322" s="402">
        <f>O321/$R316</f>
        <v>3.7369813860942708E-2</v>
      </c>
      <c r="P322" s="372"/>
      <c r="Q322" s="400" t="s">
        <v>507</v>
      </c>
      <c r="R322" s="402"/>
      <c r="S322" s="372"/>
      <c r="T322" s="604"/>
      <c r="U322" s="394"/>
      <c r="V322" s="393"/>
      <c r="W322" s="604"/>
      <c r="X322" s="31"/>
      <c r="Y322" s="31"/>
    </row>
    <row r="323" spans="1:25" ht="18.75" hidden="1" thickBot="1">
      <c r="A323" s="31"/>
      <c r="B323" s="379"/>
      <c r="C323" s="384"/>
      <c r="D323" s="602"/>
      <c r="E323" s="323"/>
      <c r="F323" s="323"/>
      <c r="G323" s="603"/>
      <c r="H323" s="323"/>
      <c r="I323" s="323"/>
      <c r="J323" s="603"/>
      <c r="K323" s="323"/>
      <c r="L323" s="323"/>
      <c r="M323" s="603"/>
      <c r="N323" s="323"/>
      <c r="O323" s="323"/>
      <c r="P323" s="603"/>
      <c r="Q323" s="323"/>
      <c r="R323" s="323"/>
      <c r="S323" s="603"/>
      <c r="T323" s="604"/>
      <c r="U323" s="394"/>
      <c r="V323" s="393"/>
      <c r="W323" s="604"/>
      <c r="X323" s="31"/>
      <c r="Y323" s="31"/>
    </row>
    <row r="324" spans="1:25" ht="18.75" hidden="1" thickBot="1">
      <c r="A324" s="31"/>
      <c r="B324" s="379"/>
      <c r="C324" s="384"/>
      <c r="D324" s="602"/>
      <c r="E324" s="304" t="s">
        <v>499</v>
      </c>
      <c r="F324" s="401">
        <f>(F316-E304-E305-E306-E307)-(I316-H304-H305-H306-H307)</f>
        <v>58364.980866775149</v>
      </c>
      <c r="G324" s="372"/>
      <c r="H324" s="304" t="s">
        <v>499</v>
      </c>
      <c r="I324" s="401">
        <f>(I316-H304-H305-H306-H307)-(L316-K304-K305-K306-K307)</f>
        <v>44440.597442906816</v>
      </c>
      <c r="J324" s="372"/>
      <c r="K324" s="304" t="s">
        <v>499</v>
      </c>
      <c r="L324" s="401">
        <f>(L316-K304-K305-K306-K307)-(O316-N304-N305-N306-N307)</f>
        <v>50094.288770612329</v>
      </c>
      <c r="M324" s="372"/>
      <c r="N324" s="304" t="s">
        <v>499</v>
      </c>
      <c r="O324" s="401">
        <f>(O316-N304-N305-N306-N307)-(R316-Q304-Q305-Q306-Q307)</f>
        <v>0</v>
      </c>
      <c r="P324" s="372"/>
      <c r="Q324" s="304" t="s">
        <v>499</v>
      </c>
      <c r="R324" s="401"/>
      <c r="S324" s="372"/>
      <c r="T324" s="604"/>
      <c r="U324" s="394"/>
      <c r="V324" s="393"/>
      <c r="W324" s="604"/>
      <c r="X324" s="31"/>
      <c r="Y324" s="31"/>
    </row>
    <row r="325" spans="1:25" ht="18.75" hidden="1" thickBot="1">
      <c r="A325" s="31"/>
      <c r="B325" s="379"/>
      <c r="C325" s="384"/>
      <c r="D325" s="602"/>
      <c r="E325" s="306" t="s">
        <v>506</v>
      </c>
      <c r="F325" s="402">
        <f>F324/(F316-E304-E305-E306-E307)</f>
        <v>3.5805378618944166E-2</v>
      </c>
      <c r="G325" s="372"/>
      <c r="H325" s="306" t="s">
        <v>506</v>
      </c>
      <c r="I325" s="402">
        <f>I324/(I316-H304-H305-H306-H307)</f>
        <v>2.8275552991673534E-2</v>
      </c>
      <c r="J325" s="372"/>
      <c r="K325" s="306" t="s">
        <v>506</v>
      </c>
      <c r="L325" s="402">
        <f>L324/($R316-$Q304-$Q305-$Q306-$Q307)</f>
        <v>3.3912522898612796E-2</v>
      </c>
      <c r="M325" s="372"/>
      <c r="N325" s="306" t="s">
        <v>506</v>
      </c>
      <c r="O325" s="402">
        <f>O324/($R316-$Q304-$Q305-$Q307)</f>
        <v>0</v>
      </c>
      <c r="P325" s="372"/>
      <c r="Q325" s="306" t="s">
        <v>506</v>
      </c>
      <c r="R325" s="402"/>
      <c r="S325" s="372"/>
      <c r="T325" s="604"/>
      <c r="U325" s="394"/>
      <c r="V325" s="393"/>
      <c r="W325" s="604"/>
      <c r="X325" s="31"/>
      <c r="Y325" s="31"/>
    </row>
    <row r="326" spans="1:25" ht="18.75" hidden="1" thickBot="1">
      <c r="A326" s="31"/>
      <c r="B326" s="379"/>
      <c r="C326" s="384"/>
      <c r="D326" s="602"/>
      <c r="E326" s="369"/>
      <c r="F326" s="606"/>
      <c r="G326" s="603"/>
      <c r="H326" s="369"/>
      <c r="I326" s="606"/>
      <c r="J326" s="603"/>
      <c r="K326" s="369"/>
      <c r="L326" s="606"/>
      <c r="M326" s="603"/>
      <c r="N326" s="369"/>
      <c r="O326" s="606"/>
      <c r="P326" s="603"/>
      <c r="Q326" s="369"/>
      <c r="R326" s="606"/>
      <c r="S326" s="603"/>
      <c r="T326" s="604"/>
      <c r="U326" s="394"/>
      <c r="V326" s="393"/>
      <c r="W326" s="604"/>
      <c r="X326" s="31"/>
      <c r="Y326" s="31"/>
    </row>
    <row r="327" spans="1:25" ht="18.75" hidden="1" thickBot="1">
      <c r="A327" s="31"/>
      <c r="B327" s="379"/>
      <c r="C327" s="384"/>
      <c r="D327" s="602"/>
      <c r="E327" s="304" t="s">
        <v>508</v>
      </c>
      <c r="F327" s="401">
        <f>(F316-E304-E305-E306-E307)-($R316-$Q304-$Q305-$Q306-$Q307)</f>
        <v>152899.86708029429</v>
      </c>
      <c r="G327" s="603"/>
      <c r="H327" s="304" t="s">
        <v>508</v>
      </c>
      <c r="I327" s="401">
        <f>(I316-H304-H305-H306-H307)-($R316-$Q304-$Q305-$Q306-$Q307)</f>
        <v>94534.886213519145</v>
      </c>
      <c r="J327" s="603"/>
      <c r="K327" s="304" t="s">
        <v>508</v>
      </c>
      <c r="L327" s="401">
        <f>(L316-K304-K305-K306-K307)-($R316-$Q304-$Q305-$Q306)</f>
        <v>50094.288770612329</v>
      </c>
      <c r="M327" s="603"/>
      <c r="N327" s="304" t="s">
        <v>508</v>
      </c>
      <c r="O327" s="401">
        <f>(O316-N304-N305-N306-N307)-($R316-$Q304-$Q305-$Q307)</f>
        <v>0</v>
      </c>
      <c r="P327" s="603"/>
      <c r="Q327" s="369"/>
      <c r="R327" s="606"/>
      <c r="S327" s="603"/>
      <c r="T327" s="604"/>
      <c r="U327" s="394"/>
      <c r="V327" s="393"/>
      <c r="W327" s="604"/>
      <c r="X327" s="31"/>
      <c r="Y327" s="31"/>
    </row>
    <row r="328" spans="1:25" ht="18.75" hidden="1" thickBot="1">
      <c r="A328" s="31"/>
      <c r="B328" s="379"/>
      <c r="C328" s="384"/>
      <c r="D328" s="602"/>
      <c r="E328" s="306" t="s">
        <v>500</v>
      </c>
      <c r="F328" s="403">
        <f>F327/($R316-$Q304-$Q305-$Q307)</f>
        <v>0.10350920974842202</v>
      </c>
      <c r="G328" s="603"/>
      <c r="H328" s="306" t="s">
        <v>500</v>
      </c>
      <c r="I328" s="403">
        <f>I327/($R316-$Q304-$Q305-$Q307)</f>
        <v>6.3997644683887897E-2</v>
      </c>
      <c r="J328" s="603"/>
      <c r="K328" s="306" t="s">
        <v>500</v>
      </c>
      <c r="L328" s="402">
        <f>L327/($R316-$Q304-$Q305-$Q307)</f>
        <v>3.3912522898612796E-2</v>
      </c>
      <c r="M328" s="603"/>
      <c r="N328" s="306" t="s">
        <v>500</v>
      </c>
      <c r="O328" s="403">
        <f>O327/($R316-$Q304-$Q305-$Q307)</f>
        <v>0</v>
      </c>
      <c r="P328" s="603"/>
      <c r="Q328" s="369"/>
      <c r="R328" s="606"/>
      <c r="S328" s="603"/>
      <c r="T328" s="604"/>
      <c r="U328" s="394"/>
      <c r="V328" s="393"/>
      <c r="W328" s="604"/>
      <c r="X328" s="31"/>
      <c r="Y328" s="31"/>
    </row>
    <row r="329" spans="1:25" ht="18.75" hidden="1" thickBot="1">
      <c r="A329" s="31"/>
      <c r="B329" s="379"/>
      <c r="C329" s="384"/>
      <c r="D329" s="602"/>
      <c r="E329" s="369"/>
      <c r="F329" s="606"/>
      <c r="G329" s="603"/>
      <c r="H329" s="369"/>
      <c r="I329" s="606"/>
      <c r="J329" s="603"/>
      <c r="K329" s="369"/>
      <c r="L329" s="606"/>
      <c r="M329" s="603"/>
      <c r="N329" s="369"/>
      <c r="O329" s="606"/>
      <c r="P329" s="603"/>
      <c r="Q329" s="369"/>
      <c r="R329" s="606"/>
      <c r="S329" s="603"/>
      <c r="T329" s="604"/>
      <c r="U329" s="394"/>
      <c r="V329" s="393"/>
      <c r="W329" s="604"/>
      <c r="X329" s="31"/>
      <c r="Y329" s="31"/>
    </row>
    <row r="330" spans="1:25" ht="18.75" hidden="1" thickBot="1">
      <c r="A330" s="31"/>
      <c r="B330" s="379"/>
      <c r="C330" s="384"/>
      <c r="D330" s="602"/>
      <c r="E330" s="384" t="s">
        <v>509</v>
      </c>
      <c r="F330" s="388"/>
      <c r="G330" s="603"/>
      <c r="H330" s="384" t="s">
        <v>509</v>
      </c>
      <c r="I330" s="388"/>
      <c r="J330" s="603"/>
      <c r="K330" s="384" t="s">
        <v>509</v>
      </c>
      <c r="L330" s="388"/>
      <c r="M330" s="603"/>
      <c r="N330" s="384" t="s">
        <v>509</v>
      </c>
      <c r="O330" s="388"/>
      <c r="P330" s="603"/>
      <c r="Q330" s="384" t="s">
        <v>509</v>
      </c>
      <c r="R330" s="388"/>
      <c r="S330" s="603"/>
      <c r="T330" s="604"/>
      <c r="U330" s="394"/>
      <c r="V330" s="393"/>
      <c r="W330" s="604"/>
      <c r="X330" s="31"/>
      <c r="Y330" s="31"/>
    </row>
    <row r="331" spans="1:25" ht="18.75" hidden="1" thickBot="1">
      <c r="A331" s="31"/>
      <c r="B331" s="379"/>
      <c r="C331" s="384"/>
      <c r="D331" s="602"/>
      <c r="E331" s="321" t="s">
        <v>510</v>
      </c>
      <c r="F331" s="404">
        <f>(E290+E291+E292+E293+E294+E295+E296+E298+E299+E300)*0.5</f>
        <v>1025680.6579529343</v>
      </c>
      <c r="G331" s="603"/>
      <c r="H331" s="321" t="s">
        <v>510</v>
      </c>
      <c r="I331" s="404">
        <f>(H290+H291+H292+H293+H294+H295+H296+H298+H299+H300)*0.5</f>
        <v>1007497.9779101298</v>
      </c>
      <c r="J331" s="603"/>
      <c r="K331" s="321" t="s">
        <v>510</v>
      </c>
      <c r="L331" s="404">
        <f>(K290+K291+K292+K293+K294+K295+K296+K298+K299+K300)*0.5</f>
        <v>979010.41544672812</v>
      </c>
      <c r="M331" s="603"/>
      <c r="N331" s="321" t="s">
        <v>510</v>
      </c>
      <c r="O331" s="404">
        <f>(N290+N291+N292+N293+N294+N295+N296+N298+N299+N300)*0.5</f>
        <v>946898.69187582261</v>
      </c>
      <c r="P331" s="603"/>
      <c r="Q331" s="321" t="s">
        <v>510</v>
      </c>
      <c r="R331" s="404">
        <f>(Q290+Q291+Q292+Q293+Q294+Q295+Q296+Q298+Q299+Q300)*0.5</f>
        <v>946898.69187582261</v>
      </c>
      <c r="S331" s="603"/>
      <c r="T331" s="604"/>
      <c r="U331" s="394"/>
      <c r="V331" s="393"/>
      <c r="W331" s="604"/>
      <c r="X331" s="31"/>
      <c r="Y331" s="31"/>
    </row>
    <row r="332" spans="1:25" ht="18.75" hidden="1" thickBot="1">
      <c r="A332" s="31"/>
      <c r="B332" s="379"/>
      <c r="C332" s="384"/>
      <c r="D332" s="602"/>
      <c r="E332" s="321" t="s">
        <v>511</v>
      </c>
      <c r="F332" s="388"/>
      <c r="G332" s="603"/>
      <c r="H332" s="321" t="s">
        <v>511</v>
      </c>
      <c r="I332" s="388"/>
      <c r="J332" s="603"/>
      <c r="K332" s="321" t="s">
        <v>511</v>
      </c>
      <c r="L332" s="388"/>
      <c r="M332" s="603"/>
      <c r="N332" s="321" t="s">
        <v>511</v>
      </c>
      <c r="O332" s="388"/>
      <c r="P332" s="603"/>
      <c r="Q332" s="321" t="s">
        <v>511</v>
      </c>
      <c r="R332" s="388"/>
      <c r="S332" s="603"/>
      <c r="T332" s="604"/>
      <c r="U332" s="394"/>
      <c r="V332" s="393"/>
      <c r="W332" s="604"/>
      <c r="X332" s="31"/>
      <c r="Y332" s="31"/>
    </row>
    <row r="333" spans="1:25" ht="18.75" hidden="1" thickBot="1">
      <c r="A333" s="31"/>
      <c r="B333" s="379"/>
      <c r="C333" s="384"/>
      <c r="D333" s="602"/>
      <c r="E333" s="323" t="s">
        <v>512</v>
      </c>
      <c r="F333" s="323">
        <f>F331*0.78</f>
        <v>800030.9132032888</v>
      </c>
      <c r="G333" s="603"/>
      <c r="H333" s="323" t="s">
        <v>512</v>
      </c>
      <c r="I333" s="323">
        <f>I331*0.78</f>
        <v>785848.42276990134</v>
      </c>
      <c r="J333" s="603"/>
      <c r="K333" s="323" t="s">
        <v>512</v>
      </c>
      <c r="L333" s="323">
        <f>L331*0.78</f>
        <v>763628.12404844793</v>
      </c>
      <c r="M333" s="603"/>
      <c r="N333" s="323" t="s">
        <v>512</v>
      </c>
      <c r="O333" s="323">
        <f>O331*0.78</f>
        <v>738580.97966314165</v>
      </c>
      <c r="P333" s="603"/>
      <c r="Q333" s="323" t="s">
        <v>512</v>
      </c>
      <c r="R333" s="323">
        <f>R331*0.78</f>
        <v>738580.97966314165</v>
      </c>
      <c r="S333" s="603"/>
      <c r="T333" s="604"/>
      <c r="U333" s="394"/>
      <c r="V333" s="393"/>
      <c r="W333" s="604"/>
      <c r="X333" s="31"/>
      <c r="Y333" s="31"/>
    </row>
    <row r="334" spans="1:25" ht="18.75" hidden="1" thickBot="1">
      <c r="A334" s="31"/>
      <c r="B334" s="379"/>
      <c r="C334" s="384"/>
      <c r="D334" s="602"/>
      <c r="E334" s="321" t="s">
        <v>513</v>
      </c>
      <c r="F334" s="321"/>
      <c r="G334" s="603"/>
      <c r="H334" s="321" t="s">
        <v>513</v>
      </c>
      <c r="I334" s="321"/>
      <c r="J334" s="603"/>
      <c r="K334" s="321" t="s">
        <v>513</v>
      </c>
      <c r="L334" s="321"/>
      <c r="M334" s="603"/>
      <c r="N334" s="321" t="s">
        <v>513</v>
      </c>
      <c r="O334" s="321"/>
      <c r="P334" s="603"/>
      <c r="Q334" s="321" t="s">
        <v>513</v>
      </c>
      <c r="R334" s="321"/>
      <c r="S334" s="603"/>
      <c r="T334" s="604"/>
      <c r="U334" s="394"/>
      <c r="V334" s="393"/>
      <c r="W334" s="604"/>
      <c r="X334" s="31"/>
      <c r="Y334" s="31"/>
    </row>
    <row r="335" spans="1:25" ht="18.75" hidden="1" thickBot="1">
      <c r="A335" s="31"/>
      <c r="B335" s="379"/>
      <c r="C335" s="384"/>
      <c r="D335" s="602"/>
      <c r="E335" s="264">
        <v>502</v>
      </c>
      <c r="F335" s="404">
        <f>-(E290+E291+E295+E296+E292+E293+E294+F309+E298+E299+F331+E300)*0.19</f>
        <v>-584637.97503317252</v>
      </c>
      <c r="G335" s="603"/>
      <c r="H335" s="264">
        <v>502</v>
      </c>
      <c r="I335" s="404">
        <f>-(H290+H291+H295+H296+H292+H293+H294+I309+H298+H299+I331+H300)*0.19</f>
        <v>-574273.84740877396</v>
      </c>
      <c r="J335" s="603"/>
      <c r="K335" s="264">
        <v>502</v>
      </c>
      <c r="L335" s="404">
        <f>-(K290+K291+K295+K296+K292+K293+K294+L309+K298+K299+L331+K300)*0.19</f>
        <v>-558035.9368046351</v>
      </c>
      <c r="M335" s="603"/>
      <c r="N335" s="264">
        <v>502</v>
      </c>
      <c r="O335" s="404">
        <f>-(N290+N291+N295+N296+N292+N293+N294+O309+N298+N299+O331+N300)*0.19</f>
        <v>-539732.25436921883</v>
      </c>
      <c r="P335" s="603"/>
      <c r="Q335" s="264">
        <v>502</v>
      </c>
      <c r="R335" s="404">
        <f>-(Q290+Q291+Q295+Q296+Q292+Q293+Q294+R309+Q298+Q299+R331+Q300)*0.19</f>
        <v>-539732.25436921883</v>
      </c>
      <c r="S335" s="603"/>
      <c r="T335" s="604"/>
      <c r="U335" s="394"/>
      <c r="V335" s="393"/>
      <c r="W335" s="604"/>
      <c r="X335" s="31"/>
      <c r="Y335" s="31"/>
    </row>
    <row r="336" spans="1:25" ht="18.75" hidden="1" thickBot="1">
      <c r="A336" s="31"/>
      <c r="B336" s="379"/>
      <c r="C336" s="384"/>
      <c r="D336" s="602"/>
      <c r="E336" s="264">
        <v>504</v>
      </c>
      <c r="F336" s="404"/>
      <c r="G336" s="603"/>
      <c r="H336" s="264">
        <v>504</v>
      </c>
      <c r="I336" s="404"/>
      <c r="J336" s="603"/>
      <c r="K336" s="264">
        <v>504</v>
      </c>
      <c r="L336" s="404"/>
      <c r="M336" s="603"/>
      <c r="N336" s="264">
        <v>504</v>
      </c>
      <c r="O336" s="404"/>
      <c r="P336" s="603"/>
      <c r="Q336" s="264">
        <v>504</v>
      </c>
      <c r="R336" s="404"/>
      <c r="S336" s="603"/>
      <c r="T336" s="604"/>
      <c r="U336" s="394"/>
      <c r="V336" s="393"/>
      <c r="W336" s="604"/>
      <c r="X336" s="31"/>
      <c r="Y336" s="31"/>
    </row>
    <row r="337" spans="1:28" ht="16.5" hidden="1" thickBot="1">
      <c r="A337" s="31"/>
      <c r="B337" s="379"/>
      <c r="C337" s="384"/>
      <c r="D337" s="602"/>
      <c r="E337" s="264">
        <v>505</v>
      </c>
      <c r="F337" s="404">
        <f>-(E290+E291+E295+E296+E292+E293+E294+F309+E298+E299+F331+E300)*0.03</f>
        <v>-92311.259215764076</v>
      </c>
      <c r="G337" s="603"/>
      <c r="H337" s="264">
        <v>505</v>
      </c>
      <c r="I337" s="404">
        <f>-(H290+H291+H295+H296+H292+H293+H294+I309+H298+H299+I331+H300)*0.03</f>
        <v>-90674.818011911673</v>
      </c>
      <c r="J337" s="603"/>
      <c r="K337" s="264">
        <v>505</v>
      </c>
      <c r="L337" s="404">
        <f>-(K290+K291+K295+K296+K292+K293+K294+L309+K298+K299+L331+K300)*0.03</f>
        <v>-88110.937390205538</v>
      </c>
      <c r="M337" s="603"/>
      <c r="N337" s="264">
        <v>505</v>
      </c>
      <c r="O337" s="404">
        <f>-(N290+N291+N295+N296+N292+N293+N294+O309+N298+N299+O331+N300)*0.03</f>
        <v>-85220.882268824018</v>
      </c>
      <c r="P337" s="603"/>
      <c r="Q337" s="264">
        <v>505</v>
      </c>
      <c r="R337" s="404">
        <f>-(Q290+Q291+Q295+Q296+Q292+Q293+Q294+R309+Q298+Q299+R331+Q300)*0.03</f>
        <v>-85220.882268824018</v>
      </c>
      <c r="S337" s="603"/>
      <c r="T337" s="37"/>
      <c r="U337" s="37"/>
      <c r="V337" s="37"/>
      <c r="W337" s="37"/>
      <c r="X337" s="37"/>
      <c r="Y337" s="37"/>
    </row>
    <row r="338" spans="1:28" ht="18.75" hidden="1" thickBot="1">
      <c r="A338" s="31"/>
      <c r="B338" s="379"/>
      <c r="C338" s="384"/>
      <c r="D338" s="602"/>
      <c r="E338" s="388"/>
      <c r="F338" s="388"/>
      <c r="G338" s="603"/>
      <c r="H338" s="388"/>
      <c r="I338" s="388"/>
      <c r="J338" s="603"/>
      <c r="K338" s="388"/>
      <c r="L338" s="388"/>
      <c r="M338" s="603"/>
      <c r="N338" s="388"/>
      <c r="O338" s="388"/>
      <c r="P338" s="603"/>
      <c r="Q338" s="388"/>
      <c r="R338" s="388"/>
      <c r="S338" s="603"/>
      <c r="T338" s="604"/>
      <c r="U338" s="394"/>
      <c r="V338" s="393"/>
      <c r="W338" s="604"/>
      <c r="X338" s="31"/>
      <c r="Y338" s="31"/>
    </row>
    <row r="339" spans="1:28" ht="18.75" hidden="1" thickBot="1">
      <c r="A339" s="31"/>
      <c r="B339" s="379"/>
      <c r="C339" s="384"/>
      <c r="D339" s="602"/>
      <c r="E339" s="369" t="s">
        <v>514</v>
      </c>
      <c r="F339" s="369"/>
      <c r="G339" s="603"/>
      <c r="H339" s="369" t="s">
        <v>514</v>
      </c>
      <c r="I339" s="369"/>
      <c r="J339" s="603"/>
      <c r="K339" s="369" t="s">
        <v>514</v>
      </c>
      <c r="L339" s="369"/>
      <c r="M339" s="603"/>
      <c r="N339" s="369" t="s">
        <v>514</v>
      </c>
      <c r="O339" s="369"/>
      <c r="P339" s="603"/>
      <c r="Q339" s="369" t="s">
        <v>514</v>
      </c>
      <c r="R339" s="369"/>
      <c r="S339" s="603"/>
      <c r="T339" s="604"/>
      <c r="U339" s="394"/>
      <c r="V339" s="393"/>
      <c r="W339" s="604"/>
      <c r="X339" s="31"/>
      <c r="Y339" s="31"/>
    </row>
    <row r="340" spans="1:28" ht="18.75" hidden="1" thickBot="1">
      <c r="A340" s="31"/>
      <c r="B340" s="379"/>
      <c r="C340" s="384"/>
      <c r="D340" s="602"/>
      <c r="E340" s="369"/>
      <c r="F340" s="388">
        <f>E308+F331+F332+F335+F336+F337</f>
        <v>2668528.7396098659</v>
      </c>
      <c r="G340" s="603"/>
      <c r="H340" s="369"/>
      <c r="I340" s="388">
        <f>H308+I331+I332+I335+I336+I337</f>
        <v>2595981.268309704</v>
      </c>
      <c r="J340" s="603"/>
      <c r="K340" s="369"/>
      <c r="L340" s="388">
        <f>K308+L331+L332+L335+L336+L337</f>
        <v>2479296.3721453436</v>
      </c>
      <c r="M340" s="603"/>
      <c r="N340" s="369"/>
      <c r="O340" s="388">
        <f>N308+O331+O332+O335+O336+O337</f>
        <v>2404154.9389894246</v>
      </c>
      <c r="P340" s="603"/>
      <c r="Q340" s="369"/>
      <c r="R340" s="388">
        <f>Q308+R331+R332+R335+R336+R337</f>
        <v>2344154.9389894246</v>
      </c>
      <c r="S340" s="603"/>
      <c r="T340" s="604"/>
      <c r="U340" s="394"/>
      <c r="V340" s="393"/>
      <c r="W340" s="604"/>
      <c r="X340" s="31"/>
      <c r="Y340" s="31"/>
    </row>
    <row r="341" spans="1:28" ht="18.75" hidden="1" thickBot="1">
      <c r="A341" s="31"/>
      <c r="B341" s="379"/>
      <c r="C341" s="384"/>
      <c r="D341" s="602"/>
      <c r="E341" s="406" t="s">
        <v>515</v>
      </c>
      <c r="F341" s="406"/>
      <c r="G341" s="603"/>
      <c r="H341" s="406" t="s">
        <v>515</v>
      </c>
      <c r="I341" s="406"/>
      <c r="J341" s="603"/>
      <c r="K341" s="406" t="s">
        <v>515</v>
      </c>
      <c r="L341" s="406"/>
      <c r="M341" s="603"/>
      <c r="N341" s="406" t="s">
        <v>515</v>
      </c>
      <c r="O341" s="406"/>
      <c r="P341" s="603"/>
      <c r="Q341" s="406" t="s">
        <v>515</v>
      </c>
      <c r="R341" s="406"/>
      <c r="S341" s="603"/>
      <c r="T341" s="604"/>
      <c r="U341" s="394"/>
      <c r="V341" s="393"/>
      <c r="W341" s="604"/>
      <c r="X341" s="31"/>
      <c r="Y341" s="31"/>
    </row>
    <row r="342" spans="1:28" ht="21" hidden="1" thickBot="1">
      <c r="A342" s="31"/>
      <c r="B342" s="379"/>
      <c r="C342" s="384"/>
      <c r="D342" s="602"/>
      <c r="E342" s="323"/>
      <c r="F342" s="607">
        <f>F340-F316+F312</f>
        <v>800030.91320328834</v>
      </c>
      <c r="G342" s="603"/>
      <c r="H342" s="323"/>
      <c r="I342" s="607">
        <f>I340-I316+I312</f>
        <v>785848.42276990158</v>
      </c>
      <c r="J342" s="603"/>
      <c r="K342" s="323"/>
      <c r="L342" s="607">
        <f>L340-L316+L312</f>
        <v>763628.12404844793</v>
      </c>
      <c r="M342" s="603"/>
      <c r="N342" s="323"/>
      <c r="O342" s="607">
        <f>O340-O316+O312</f>
        <v>738580.9796631413</v>
      </c>
      <c r="P342" s="603"/>
      <c r="Q342" s="323"/>
      <c r="R342" s="607">
        <f>R340-R316+R312</f>
        <v>738580.9796631413</v>
      </c>
      <c r="S342" s="603"/>
      <c r="T342" s="604"/>
      <c r="U342" s="394"/>
      <c r="V342" s="393"/>
      <c r="W342" s="604"/>
      <c r="X342" s="31"/>
      <c r="Y342" s="31"/>
    </row>
    <row r="343" spans="1:28" ht="20.25" hidden="1">
      <c r="A343" s="31"/>
      <c r="B343" s="524"/>
      <c r="C343" s="91"/>
      <c r="D343" s="525"/>
      <c r="E343" s="866">
        <v>46266</v>
      </c>
      <c r="F343" s="867">
        <f>Aumentoseptiembre26</f>
        <v>0.10336174999999992</v>
      </c>
      <c r="G343" s="868"/>
      <c r="H343" s="807">
        <v>46204</v>
      </c>
      <c r="I343" s="808">
        <f>Aumentojulio26</f>
        <v>6.6049999999999942E-2</v>
      </c>
      <c r="J343" s="21"/>
      <c r="K343" s="22">
        <v>46082</v>
      </c>
      <c r="L343" s="23">
        <v>0</v>
      </c>
      <c r="M343" s="21"/>
      <c r="N343" s="22">
        <v>46054</v>
      </c>
      <c r="O343" s="23">
        <v>0</v>
      </c>
      <c r="P343" s="21"/>
      <c r="Q343" s="22">
        <v>45992</v>
      </c>
      <c r="R343" s="23" t="e">
        <f>(1+Aumentodic25respene25)*(1+Aumentoene25respdic24)-1</f>
        <v>#NAME?</v>
      </c>
      <c r="S343" s="21"/>
      <c r="T343" s="608"/>
      <c r="U343" s="393"/>
      <c r="V343" s="604"/>
      <c r="W343" s="31"/>
      <c r="X343" s="31"/>
      <c r="Y343" s="31"/>
    </row>
    <row r="344" spans="1:28" ht="18" hidden="1">
      <c r="A344" s="31"/>
      <c r="B344" s="524"/>
      <c r="C344" s="91"/>
      <c r="D344" s="525"/>
      <c r="E344" s="525"/>
      <c r="F344" s="525"/>
      <c r="G344" s="525"/>
      <c r="H344" s="525"/>
      <c r="I344" s="525"/>
      <c r="J344" s="525"/>
      <c r="K344" s="525"/>
      <c r="L344" s="525"/>
      <c r="M344" s="525"/>
      <c r="N344" s="525"/>
      <c r="O344" s="525"/>
      <c r="P344" s="525"/>
      <c r="Q344" s="22">
        <v>46023</v>
      </c>
      <c r="R344" s="525"/>
      <c r="S344" s="525"/>
      <c r="T344" s="31"/>
      <c r="U344" s="31"/>
      <c r="V344" s="31"/>
      <c r="W344" s="31"/>
      <c r="X344" s="31"/>
      <c r="Y344" s="31"/>
    </row>
    <row r="345" spans="1:28" ht="18" hidden="1">
      <c r="A345" s="52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</row>
    <row r="346" spans="1:28" ht="18.75" thickBot="1">
      <c r="A346" s="609"/>
      <c r="B346" s="609"/>
      <c r="C346" s="609"/>
      <c r="D346" s="609"/>
      <c r="E346" s="609"/>
      <c r="F346" s="609"/>
      <c r="G346" s="609"/>
      <c r="H346" s="609"/>
      <c r="I346" s="609"/>
      <c r="J346" s="609"/>
      <c r="K346" s="609"/>
      <c r="L346" s="609"/>
      <c r="M346" s="609"/>
      <c r="N346" s="609"/>
      <c r="O346" s="609"/>
      <c r="P346" s="609"/>
      <c r="Q346" s="609"/>
      <c r="R346" s="609"/>
      <c r="S346" s="609"/>
      <c r="T346" s="610"/>
      <c r="U346" s="610"/>
      <c r="V346" s="610"/>
      <c r="W346" s="610"/>
      <c r="X346" s="610"/>
      <c r="Y346" s="610"/>
      <c r="Z346" s="610"/>
      <c r="AA346" s="610"/>
      <c r="AB346" s="610"/>
    </row>
    <row r="347" spans="1:28">
      <c r="A347" s="153"/>
      <c r="B347" s="153"/>
      <c r="C347" s="31"/>
      <c r="D347" s="31"/>
      <c r="E347" s="411"/>
      <c r="F347" s="37"/>
      <c r="G347" s="411"/>
      <c r="H347" s="413"/>
      <c r="I347" s="414" t="str">
        <f>canthorsup&amp;" horas sup"</f>
        <v>36 horas sup</v>
      </c>
      <c r="J347" s="415">
        <f>porantighorsup</f>
        <v>1.2</v>
      </c>
      <c r="K347" s="416"/>
      <c r="L347" s="417"/>
      <c r="M347" s="417"/>
      <c r="N347" s="417"/>
      <c r="O347" s="37"/>
      <c r="P347" s="417"/>
      <c r="Q347" s="37"/>
      <c r="R347" s="37"/>
      <c r="S347" s="37"/>
    </row>
    <row r="348" spans="1:28" ht="15.75">
      <c r="A348" s="31"/>
      <c r="B348" s="31"/>
      <c r="C348" s="31"/>
      <c r="D348" s="31"/>
      <c r="E348" s="418"/>
      <c r="F348" s="37"/>
      <c r="G348" s="421"/>
      <c r="H348" s="611">
        <v>45992</v>
      </c>
      <c r="I348" s="612">
        <v>46054</v>
      </c>
      <c r="J348" s="612">
        <v>46143</v>
      </c>
      <c r="K348" s="187">
        <v>46204</v>
      </c>
      <c r="L348" s="187">
        <v>46266</v>
      </c>
      <c r="M348" s="613"/>
      <c r="N348" s="613"/>
      <c r="O348" s="613"/>
      <c r="P348" s="421"/>
      <c r="Q348" s="421"/>
      <c r="R348" s="421"/>
      <c r="S348" s="421"/>
    </row>
    <row r="349" spans="1:28">
      <c r="A349" s="31"/>
      <c r="B349" s="31"/>
      <c r="C349" s="31"/>
      <c r="D349" s="31"/>
      <c r="E349" s="423"/>
      <c r="F349" s="37"/>
      <c r="G349" s="423"/>
      <c r="H349" s="199">
        <f>Q354</f>
        <v>1873654.8200799846</v>
      </c>
      <c r="I349" s="424">
        <f>N354</f>
        <v>1933654.8200799846</v>
      </c>
      <c r="J349" s="425">
        <f>K354</f>
        <v>1993132.0161059003</v>
      </c>
      <c r="K349" s="195">
        <f>H354</f>
        <v>2095920.526589077</v>
      </c>
      <c r="L349" s="195">
        <f>E354</f>
        <v>2189325.8564512166</v>
      </c>
      <c r="M349" s="426"/>
      <c r="N349" s="426"/>
      <c r="O349" s="426"/>
      <c r="P349" s="426"/>
      <c r="Q349" s="426"/>
      <c r="R349" s="426"/>
      <c r="S349" s="426"/>
    </row>
    <row r="350" spans="1:28" ht="23.25">
      <c r="A350" s="31"/>
      <c r="B350" s="31"/>
      <c r="C350" s="614" t="s">
        <v>536</v>
      </c>
      <c r="D350" s="615"/>
      <c r="E350" s="427"/>
      <c r="F350" s="37"/>
      <c r="G350" s="428"/>
      <c r="H350" s="199" t="s">
        <v>452</v>
      </c>
      <c r="I350" s="200">
        <f t="shared" ref="I350:K350" si="152">I349-$H349</f>
        <v>60000</v>
      </c>
      <c r="J350" s="200">
        <f t="shared" si="152"/>
        <v>119477.19602591568</v>
      </c>
      <c r="K350" s="200">
        <f t="shared" si="152"/>
        <v>222265.70650909236</v>
      </c>
      <c r="L350" s="200">
        <f t="shared" ref="L350" si="153">L349-$H349</f>
        <v>315671.03637123201</v>
      </c>
      <c r="M350" s="201"/>
      <c r="N350" s="201"/>
      <c r="O350" s="201"/>
      <c r="P350" s="201"/>
      <c r="Q350" s="201"/>
      <c r="R350" s="201"/>
      <c r="S350" s="201"/>
    </row>
    <row r="351" spans="1:28" ht="15.75">
      <c r="A351" s="31"/>
      <c r="B351" s="877" t="s">
        <v>517</v>
      </c>
      <c r="C351" s="878"/>
      <c r="D351" s="429">
        <v>36</v>
      </c>
      <c r="E351" s="430"/>
      <c r="F351" s="37"/>
      <c r="G351" s="431"/>
      <c r="H351" s="203" t="s">
        <v>455</v>
      </c>
      <c r="I351" s="204">
        <f t="shared" ref="I351:K351" si="154">I350/$H349</f>
        <v>3.2022974219679722E-2</v>
      </c>
      <c r="J351" s="204">
        <f t="shared" si="154"/>
        <v>6.3766919469625316E-2</v>
      </c>
      <c r="K351" s="204">
        <f t="shared" si="154"/>
        <v>0.11862681649099274</v>
      </c>
      <c r="L351" s="204">
        <f t="shared" ref="L351" si="155">L350/$H349</f>
        <v>0.16847875766025905</v>
      </c>
      <c r="M351" s="205"/>
      <c r="N351" s="205"/>
      <c r="O351" s="205"/>
      <c r="P351" s="205"/>
      <c r="Q351" s="205"/>
      <c r="R351" s="205"/>
      <c r="S351" s="205"/>
    </row>
    <row r="352" spans="1:28" ht="16.5" thickBot="1">
      <c r="A352" s="31"/>
      <c r="B352" s="877" t="s">
        <v>518</v>
      </c>
      <c r="C352" s="878"/>
      <c r="D352" s="432">
        <v>24</v>
      </c>
      <c r="E352" s="433"/>
      <c r="F352" s="37"/>
      <c r="G352" s="417"/>
      <c r="H352" s="208" t="s">
        <v>456</v>
      </c>
      <c r="I352" s="209"/>
      <c r="J352" s="616"/>
      <c r="K352" s="436"/>
      <c r="L352" s="437"/>
      <c r="M352" s="437"/>
      <c r="N352" s="437"/>
      <c r="O352" s="437"/>
      <c r="P352" s="437"/>
      <c r="Q352" s="437"/>
      <c r="R352" s="437"/>
      <c r="S352" s="437"/>
    </row>
    <row r="353" spans="1:25" ht="24" thickBot="1">
      <c r="A353" s="31"/>
      <c r="B353" s="31"/>
      <c r="C353" s="31"/>
      <c r="D353" s="617">
        <f>LOOKUP(D352,D18:D29,E18:E29)</f>
        <v>1.2</v>
      </c>
      <c r="E353" s="439" t="s">
        <v>458</v>
      </c>
      <c r="F353" s="856" t="s">
        <v>559</v>
      </c>
      <c r="G353" s="618"/>
      <c r="H353" s="439" t="s">
        <v>458</v>
      </c>
      <c r="I353" s="856" t="s">
        <v>559</v>
      </c>
      <c r="J353" s="618"/>
      <c r="K353" s="439" t="s">
        <v>458</v>
      </c>
      <c r="L353" s="856" t="s">
        <v>560</v>
      </c>
      <c r="M353" s="618"/>
      <c r="N353" s="439" t="s">
        <v>458</v>
      </c>
      <c r="O353" s="213"/>
      <c r="P353" s="618"/>
      <c r="Q353" s="439" t="s">
        <v>458</v>
      </c>
      <c r="R353" s="213"/>
      <c r="S353" s="619"/>
      <c r="T353" s="31"/>
      <c r="U353" s="31"/>
      <c r="V353" s="31"/>
      <c r="W353" s="31"/>
      <c r="X353" s="31"/>
      <c r="Y353" s="31"/>
    </row>
    <row r="354" spans="1:25" ht="21" thickBot="1">
      <c r="A354" s="116"/>
      <c r="B354" s="620" t="s">
        <v>519</v>
      </c>
      <c r="C354" s="442"/>
      <c r="D354" s="621"/>
      <c r="E354" s="622">
        <f>F387</f>
        <v>2189325.8564512166</v>
      </c>
      <c r="F354" s="857">
        <f>E354/1531473</f>
        <v>1.4295556346414313</v>
      </c>
      <c r="G354" s="623"/>
      <c r="H354" s="622">
        <f>I387</f>
        <v>2095920.526589077</v>
      </c>
      <c r="I354" s="857">
        <f>H354/1531473</f>
        <v>1.3685651177585743</v>
      </c>
      <c r="J354" s="623"/>
      <c r="K354" s="622">
        <f>L387</f>
        <v>1993132.0161059003</v>
      </c>
      <c r="L354" s="857">
        <f>K354/1469768</f>
        <v>1.3560861415583279</v>
      </c>
      <c r="M354" s="623"/>
      <c r="N354" s="622">
        <f>O387</f>
        <v>1933654.8200799846</v>
      </c>
      <c r="O354" s="216"/>
      <c r="P354" s="623"/>
      <c r="Q354" s="622">
        <f>R387</f>
        <v>1873654.8200799846</v>
      </c>
      <c r="R354" s="216"/>
      <c r="S354" s="623"/>
      <c r="T354" s="116"/>
      <c r="U354" s="624"/>
      <c r="V354" s="116"/>
      <c r="W354" s="116"/>
      <c r="X354" s="116"/>
      <c r="Y354" s="116"/>
    </row>
    <row r="355" spans="1:25" ht="16.5" thickTop="1">
      <c r="A355" s="31"/>
      <c r="B355" s="879" t="s">
        <v>520</v>
      </c>
      <c r="C355" s="871"/>
      <c r="D355" s="625">
        <v>17</v>
      </c>
      <c r="E355" s="218" t="s">
        <v>461</v>
      </c>
      <c r="F355" s="858"/>
      <c r="G355" s="626"/>
      <c r="H355" s="218" t="s">
        <v>461</v>
      </c>
      <c r="I355" s="858"/>
      <c r="J355" s="626"/>
      <c r="K355" s="218" t="s">
        <v>461</v>
      </c>
      <c r="L355" s="858"/>
      <c r="M355" s="626"/>
      <c r="N355" s="218" t="s">
        <v>461</v>
      </c>
      <c r="O355" s="447"/>
      <c r="P355" s="626"/>
      <c r="Q355" s="218" t="s">
        <v>461</v>
      </c>
      <c r="R355" s="447"/>
      <c r="S355" s="626"/>
      <c r="T355" s="31"/>
      <c r="U355" s="91"/>
      <c r="V355" s="31"/>
      <c r="W355" s="31"/>
      <c r="X355" s="31"/>
      <c r="Y355" s="31"/>
    </row>
    <row r="356" spans="1:25" ht="18">
      <c r="A356" s="31"/>
      <c r="B356" s="879" t="s">
        <v>521</v>
      </c>
      <c r="C356" s="871"/>
      <c r="D356" s="627">
        <v>24</v>
      </c>
      <c r="E356" s="223">
        <f>E354-E375-E376</f>
        <v>1950889.8564512166</v>
      </c>
      <c r="F356" s="857">
        <f>E356/1531473</f>
        <v>1.2738650021588476</v>
      </c>
      <c r="G356" s="450"/>
      <c r="H356" s="223">
        <f>H354-H375-H376</f>
        <v>1857484.526589077</v>
      </c>
      <c r="I356" s="857">
        <f>H356/1531473</f>
        <v>1.2128744852759905</v>
      </c>
      <c r="J356" s="450"/>
      <c r="K356" s="223">
        <f>K354-K375-K376-K378</f>
        <v>1840720.0161059003</v>
      </c>
      <c r="L356" s="857">
        <f>K356/1469768</f>
        <v>1.2523881429626311</v>
      </c>
      <c r="M356" s="450"/>
      <c r="N356" s="223">
        <f>N354-N375-N376-N378</f>
        <v>1781242.8200799846</v>
      </c>
      <c r="O356" s="449"/>
      <c r="P356" s="450"/>
      <c r="Q356" s="223">
        <f>Q354-Q375-Q376-Q378</f>
        <v>1745242.8200799846</v>
      </c>
      <c r="R356" s="449"/>
      <c r="S356" s="450"/>
      <c r="T356" s="31"/>
      <c r="U356" s="91"/>
      <c r="V356" s="31"/>
      <c r="W356" s="31"/>
      <c r="X356" s="31"/>
      <c r="Y356" s="31"/>
    </row>
    <row r="357" spans="1:25" ht="15.75">
      <c r="A357" s="31"/>
      <c r="B357" s="74" t="s">
        <v>523</v>
      </c>
      <c r="C357" s="37"/>
      <c r="D357" s="451">
        <v>15</v>
      </c>
      <c r="E357" s="451"/>
      <c r="F357" s="451"/>
      <c r="G357" s="451"/>
      <c r="H357" s="451"/>
      <c r="I357" s="451"/>
      <c r="J357" s="451"/>
      <c r="K357" s="451"/>
      <c r="L357" s="451"/>
      <c r="M357" s="451"/>
      <c r="N357" s="451"/>
      <c r="O357" s="451"/>
      <c r="P357" s="451"/>
      <c r="Q357" s="451"/>
      <c r="R357" s="451"/>
      <c r="S357" s="451"/>
      <c r="T357" s="31"/>
      <c r="U357" s="31"/>
      <c r="V357" s="31"/>
      <c r="W357" s="31"/>
      <c r="X357" s="31"/>
      <c r="Y357" s="31"/>
    </row>
    <row r="358" spans="1:25">
      <c r="A358" s="31"/>
      <c r="B358" s="880" t="s">
        <v>457</v>
      </c>
      <c r="C358" s="871"/>
      <c r="D358" s="628">
        <v>0</v>
      </c>
      <c r="E358" s="628"/>
      <c r="F358" s="628"/>
      <c r="G358" s="628"/>
      <c r="H358" s="628"/>
      <c r="I358" s="628"/>
      <c r="J358" s="628"/>
      <c r="K358" s="628"/>
      <c r="L358" s="628"/>
      <c r="M358" s="628"/>
      <c r="N358" s="628"/>
      <c r="O358" s="628"/>
      <c r="P358" s="628"/>
      <c r="Q358" s="628"/>
      <c r="R358" s="628"/>
      <c r="S358" s="628"/>
      <c r="T358" s="31"/>
      <c r="U358" s="47"/>
      <c r="V358" s="629"/>
      <c r="W358" s="31"/>
      <c r="X358" s="31"/>
      <c r="Y358" s="31"/>
    </row>
    <row r="359" spans="1:25" ht="18">
      <c r="A359" s="116"/>
      <c r="B359" s="881" t="s">
        <v>459</v>
      </c>
      <c r="C359" s="871"/>
      <c r="D359" s="455">
        <f>canthorsup*86.9</f>
        <v>3128.4</v>
      </c>
      <c r="E359" s="455"/>
      <c r="F359" s="455"/>
      <c r="G359" s="455"/>
      <c r="H359" s="455"/>
      <c r="I359" s="455"/>
      <c r="J359" s="455"/>
      <c r="K359" s="455"/>
      <c r="L359" s="455"/>
      <c r="M359" s="455"/>
      <c r="N359" s="455"/>
      <c r="O359" s="455"/>
      <c r="P359" s="455"/>
      <c r="Q359" s="22">
        <v>45992</v>
      </c>
      <c r="R359" s="455"/>
      <c r="S359" s="455"/>
      <c r="T359" s="116"/>
      <c r="U359" s="91"/>
      <c r="V359" s="624"/>
      <c r="W359" s="116"/>
      <c r="X359" s="116"/>
      <c r="Y359" s="116"/>
    </row>
    <row r="360" spans="1:25" ht="20.25">
      <c r="A360" s="116"/>
      <c r="B360" s="630"/>
      <c r="C360" s="631"/>
      <c r="D360" s="632"/>
      <c r="E360" s="866">
        <v>46266</v>
      </c>
      <c r="F360" s="867">
        <f>Aumentoseptiembre26</f>
        <v>0.10336174999999992</v>
      </c>
      <c r="G360" s="868"/>
      <c r="H360" s="807">
        <v>46204</v>
      </c>
      <c r="I360" s="808">
        <f>Aumentojulio26</f>
        <v>6.6049999999999942E-2</v>
      </c>
      <c r="J360" s="809"/>
      <c r="K360" s="807">
        <v>46143</v>
      </c>
      <c r="L360" s="808">
        <v>3.5000000000000003E-2</v>
      </c>
      <c r="M360" s="809"/>
      <c r="N360" s="807">
        <v>46054</v>
      </c>
      <c r="O360" s="808">
        <v>0</v>
      </c>
      <c r="P360" s="809"/>
      <c r="Q360" s="807">
        <v>45992</v>
      </c>
      <c r="R360" s="23"/>
      <c r="S360" s="21"/>
      <c r="T360" s="633"/>
      <c r="U360" s="116"/>
      <c r="V360" s="116"/>
      <c r="W360" s="116"/>
      <c r="X360" s="116"/>
      <c r="Y360" s="116"/>
    </row>
    <row r="361" spans="1:25" ht="15.75">
      <c r="A361" s="116"/>
      <c r="B361" s="457" t="s">
        <v>463</v>
      </c>
      <c r="C361" s="458" t="s">
        <v>464</v>
      </c>
      <c r="D361" s="459" t="s">
        <v>465</v>
      </c>
      <c r="E361" s="459"/>
      <c r="F361" s="459"/>
      <c r="G361" s="634"/>
      <c r="H361" s="459"/>
      <c r="I361" s="459"/>
      <c r="J361" s="634"/>
      <c r="K361" s="459"/>
      <c r="L361" s="459"/>
      <c r="M361" s="634"/>
      <c r="N361" s="459"/>
      <c r="O361" s="459"/>
      <c r="P361" s="634"/>
      <c r="Q361" s="459"/>
      <c r="R361" s="459"/>
      <c r="S361" s="634"/>
      <c r="T361" s="633"/>
      <c r="U361" s="116"/>
      <c r="V361" s="116"/>
      <c r="W361" s="116"/>
      <c r="X361" s="116"/>
      <c r="Y361" s="116"/>
    </row>
    <row r="362" spans="1:25" ht="15.75">
      <c r="A362" s="116"/>
      <c r="B362" s="472">
        <v>4</v>
      </c>
      <c r="C362" s="635">
        <f>C418</f>
        <v>36</v>
      </c>
      <c r="D362" s="231" t="s">
        <v>525</v>
      </c>
      <c r="E362" s="636">
        <f>E418</f>
        <v>911359.87014441588</v>
      </c>
      <c r="F362" s="636"/>
      <c r="G362" s="637"/>
      <c r="H362" s="636">
        <f>H418</f>
        <v>880540.93733759993</v>
      </c>
      <c r="I362" s="636"/>
      <c r="J362" s="637"/>
      <c r="K362" s="636">
        <f>K418</f>
        <v>854894.11392000003</v>
      </c>
      <c r="L362" s="636"/>
      <c r="M362" s="637"/>
      <c r="N362" s="636">
        <f>N418</f>
        <v>825984.49204517377</v>
      </c>
      <c r="O362" s="636"/>
      <c r="P362" s="637"/>
      <c r="Q362" s="636">
        <f>Q418</f>
        <v>825984.49204517377</v>
      </c>
      <c r="R362" s="636"/>
      <c r="S362" s="637"/>
      <c r="T362" s="633"/>
      <c r="U362" s="116"/>
      <c r="V362" s="116"/>
      <c r="W362" s="116"/>
      <c r="X362" s="116"/>
      <c r="Y362" s="116"/>
    </row>
    <row r="363" spans="1:25" ht="15.75">
      <c r="A363" s="116"/>
      <c r="B363" s="466">
        <v>10</v>
      </c>
      <c r="C363" s="467">
        <f>porantighorsup</f>
        <v>1.2</v>
      </c>
      <c r="D363" s="234" t="s">
        <v>475</v>
      </c>
      <c r="E363" s="638">
        <f>E419</f>
        <v>1123631.8441732989</v>
      </c>
      <c r="F363" s="638"/>
      <c r="G363" s="639"/>
      <c r="H363" s="638">
        <f>H419</f>
        <v>1086649.1248051198</v>
      </c>
      <c r="I363" s="638"/>
      <c r="J363" s="639"/>
      <c r="K363" s="638">
        <f>K419</f>
        <v>1055872.936704</v>
      </c>
      <c r="L363" s="638"/>
      <c r="M363" s="639"/>
      <c r="N363" s="638">
        <f>N419</f>
        <v>1021181.3904542085</v>
      </c>
      <c r="O363" s="638"/>
      <c r="P363" s="639"/>
      <c r="Q363" s="638">
        <f>Q419</f>
        <v>1021181.3904542085</v>
      </c>
      <c r="R363" s="638"/>
      <c r="S363" s="639"/>
      <c r="T363" s="633"/>
      <c r="U363" s="116"/>
      <c r="V363" s="116"/>
      <c r="W363" s="116"/>
      <c r="X363" s="116"/>
      <c r="Y363" s="116"/>
    </row>
    <row r="364" spans="1:25" ht="15.75">
      <c r="A364" s="116"/>
      <c r="B364" s="472">
        <v>6</v>
      </c>
      <c r="C364" s="487">
        <f>C420</f>
        <v>17</v>
      </c>
      <c r="D364" s="231" t="s">
        <v>474</v>
      </c>
      <c r="E364" s="640">
        <f>E420</f>
        <v>80121.727871617491</v>
      </c>
      <c r="F364" s="640"/>
      <c r="G364" s="232"/>
      <c r="H364" s="640">
        <f>H420</f>
        <v>77412.297460499991</v>
      </c>
      <c r="I364" s="640"/>
      <c r="J364" s="232"/>
      <c r="K364" s="640">
        <f>K420</f>
        <v>75157.570349999995</v>
      </c>
      <c r="L364" s="640"/>
      <c r="M364" s="232"/>
      <c r="N364" s="640">
        <f>N420</f>
        <v>72616.009999999995</v>
      </c>
      <c r="O364" s="640"/>
      <c r="P364" s="232"/>
      <c r="Q364" s="640">
        <f>Q420</f>
        <v>72616.009999999995</v>
      </c>
      <c r="R364" s="640"/>
      <c r="S364" s="232"/>
      <c r="T364" s="633"/>
      <c r="U364" s="116"/>
      <c r="V364" s="116"/>
      <c r="W364" s="116"/>
      <c r="X364" s="116"/>
      <c r="Y364" s="116"/>
    </row>
    <row r="365" spans="1:25" ht="15.75">
      <c r="A365" s="116"/>
      <c r="B365" s="466">
        <v>14</v>
      </c>
      <c r="C365" s="467">
        <v>7.0000000000000007E-2</v>
      </c>
      <c r="D365" s="234" t="s">
        <v>526</v>
      </c>
      <c r="E365" s="638">
        <f>E421</f>
        <v>5608.5209510132254</v>
      </c>
      <c r="F365" s="638"/>
      <c r="G365" s="639"/>
      <c r="H365" s="638">
        <f>H421</f>
        <v>5418.8608222349994</v>
      </c>
      <c r="I365" s="638"/>
      <c r="J365" s="639"/>
      <c r="K365" s="638">
        <f>K421</f>
        <v>5261.0299245000006</v>
      </c>
      <c r="L365" s="638"/>
      <c r="M365" s="639"/>
      <c r="N365" s="638">
        <f>N421</f>
        <v>5083.1207000000004</v>
      </c>
      <c r="O365" s="638"/>
      <c r="P365" s="639"/>
      <c r="Q365" s="638">
        <f>Q421</f>
        <v>5083.1207000000004</v>
      </c>
      <c r="R365" s="638"/>
      <c r="S365" s="639"/>
      <c r="T365" s="633"/>
      <c r="U365" s="116"/>
      <c r="V365" s="116"/>
      <c r="W365" s="116"/>
      <c r="X365" s="116"/>
      <c r="Y365" s="116"/>
    </row>
    <row r="366" spans="1:25" ht="15.75">
      <c r="A366" s="116"/>
      <c r="B366" s="460">
        <v>188</v>
      </c>
      <c r="C366" s="641">
        <v>7.0000000000000007E-2</v>
      </c>
      <c r="D366" s="462" t="s">
        <v>477</v>
      </c>
      <c r="E366" s="642">
        <f>E422</f>
        <v>155501.34000224006</v>
      </c>
      <c r="F366" s="642"/>
      <c r="G366" s="232"/>
      <c r="H366" s="642">
        <f>H422</f>
        <v>150373.03572849039</v>
      </c>
      <c r="I366" s="642"/>
      <c r="J366" s="232"/>
      <c r="K366" s="642">
        <f>K422</f>
        <v>146105.37449368002</v>
      </c>
      <c r="L366" s="642"/>
      <c r="M366" s="232"/>
      <c r="N366" s="642">
        <f>N422</f>
        <v>141294.78177495679</v>
      </c>
      <c r="O366" s="642"/>
      <c r="P366" s="232"/>
      <c r="Q366" s="642">
        <f>Q422</f>
        <v>141294.78177495679</v>
      </c>
      <c r="R366" s="642"/>
      <c r="S366" s="232"/>
      <c r="T366" s="633"/>
      <c r="U366" s="116"/>
      <c r="V366" s="116"/>
      <c r="W366" s="116"/>
      <c r="X366" s="116"/>
      <c r="Y366" s="116"/>
    </row>
    <row r="367" spans="1:25" ht="15.75">
      <c r="A367" s="116"/>
      <c r="B367" s="466">
        <v>117</v>
      </c>
      <c r="C367" s="643"/>
      <c r="D367" s="234" t="s">
        <v>482</v>
      </c>
      <c r="E367" s="638">
        <f>E423</f>
        <v>47716</v>
      </c>
      <c r="F367" s="638"/>
      <c r="G367" s="232"/>
      <c r="H367" s="638">
        <f>H423</f>
        <v>46102.398300000001</v>
      </c>
      <c r="I367" s="638"/>
      <c r="J367" s="232"/>
      <c r="K367" s="638">
        <f>K423</f>
        <v>44759.609999999993</v>
      </c>
      <c r="L367" s="638"/>
      <c r="M367" s="232"/>
      <c r="N367" s="638">
        <f>N423</f>
        <v>43246</v>
      </c>
      <c r="O367" s="638"/>
      <c r="P367" s="232"/>
      <c r="Q367" s="638">
        <f>Q423</f>
        <v>43246</v>
      </c>
      <c r="R367" s="638"/>
      <c r="S367" s="232"/>
      <c r="T367" s="633"/>
      <c r="U367" s="116"/>
      <c r="V367" s="116"/>
      <c r="W367" s="116"/>
      <c r="X367" s="116"/>
      <c r="Y367" s="116"/>
    </row>
    <row r="368" spans="1:25" ht="15.75">
      <c r="A368" s="116"/>
      <c r="B368" s="472">
        <v>29</v>
      </c>
      <c r="C368" s="472">
        <f>cantkmhs</f>
        <v>0</v>
      </c>
      <c r="D368" s="231" t="s">
        <v>484</v>
      </c>
      <c r="E368" s="640">
        <f>E424</f>
        <v>0</v>
      </c>
      <c r="F368" s="640"/>
      <c r="G368" s="232"/>
      <c r="H368" s="640">
        <f>H424</f>
        <v>0</v>
      </c>
      <c r="I368" s="640"/>
      <c r="J368" s="232"/>
      <c r="K368" s="640">
        <f>K424</f>
        <v>0</v>
      </c>
      <c r="L368" s="640"/>
      <c r="M368" s="232"/>
      <c r="N368" s="640">
        <f>N424</f>
        <v>0</v>
      </c>
      <c r="O368" s="640"/>
      <c r="P368" s="232"/>
      <c r="Q368" s="640">
        <f>Q424</f>
        <v>0</v>
      </c>
      <c r="R368" s="640"/>
      <c r="S368" s="232"/>
      <c r="T368" s="633"/>
      <c r="U368" s="116"/>
      <c r="V368" s="116"/>
      <c r="W368" s="116"/>
      <c r="X368" s="116"/>
      <c r="Y368" s="116"/>
    </row>
    <row r="369" spans="1:25" ht="16.5" thickBot="1">
      <c r="A369" s="116"/>
      <c r="B369" s="478">
        <v>38</v>
      </c>
      <c r="C369" s="644">
        <f>D357</f>
        <v>15</v>
      </c>
      <c r="D369" s="480" t="s">
        <v>529</v>
      </c>
      <c r="E369" s="645">
        <f>E425</f>
        <v>113740</v>
      </c>
      <c r="F369" s="645"/>
      <c r="G369" s="646"/>
      <c r="H369" s="645">
        <f>H425</f>
        <v>109893.76424999999</v>
      </c>
      <c r="I369" s="645"/>
      <c r="J369" s="646"/>
      <c r="K369" s="645">
        <f>K425</f>
        <v>106692.97499999999</v>
      </c>
      <c r="L369" s="645"/>
      <c r="M369" s="646"/>
      <c r="N369" s="645">
        <f>N425</f>
        <v>103085</v>
      </c>
      <c r="O369" s="645"/>
      <c r="P369" s="646"/>
      <c r="Q369" s="645">
        <f>Q425</f>
        <v>103085</v>
      </c>
      <c r="R369" s="645"/>
      <c r="S369" s="646"/>
      <c r="T369" s="633"/>
      <c r="U369" s="116"/>
      <c r="V369" s="116"/>
      <c r="W369" s="116"/>
      <c r="X369" s="116"/>
      <c r="Y369" s="116"/>
    </row>
    <row r="370" spans="1:25" ht="16.5" thickBot="1">
      <c r="A370" s="116"/>
      <c r="B370" s="251">
        <v>25</v>
      </c>
      <c r="C370" s="481">
        <v>1</v>
      </c>
      <c r="D370" s="358" t="s">
        <v>483</v>
      </c>
      <c r="E370" s="647">
        <f>E426</f>
        <v>25000</v>
      </c>
      <c r="F370" s="645"/>
      <c r="G370" s="646"/>
      <c r="H370" s="647">
        <f>H426</f>
        <v>25000</v>
      </c>
      <c r="I370" s="645"/>
      <c r="J370" s="646"/>
      <c r="K370" s="647">
        <f>K426</f>
        <v>25000</v>
      </c>
      <c r="L370" s="645"/>
      <c r="M370" s="646"/>
      <c r="N370" s="647">
        <f>N426</f>
        <v>25000</v>
      </c>
      <c r="O370" s="645"/>
      <c r="P370" s="646"/>
      <c r="Q370" s="647">
        <f>Q426</f>
        <v>25000</v>
      </c>
      <c r="R370" s="645"/>
      <c r="S370" s="646"/>
      <c r="T370" s="633"/>
      <c r="U370" s="116"/>
      <c r="V370" s="116"/>
      <c r="W370" s="116"/>
      <c r="X370" s="116"/>
      <c r="Y370" s="116"/>
    </row>
    <row r="371" spans="1:25" ht="15.75">
      <c r="A371" s="116"/>
      <c r="B371" s="917">
        <v>32</v>
      </c>
      <c r="C371" s="913"/>
      <c r="D371" s="920" t="str">
        <f>D427</f>
        <v>Antig sobre Código 25</v>
      </c>
      <c r="E371" s="920">
        <f>E427</f>
        <v>30000</v>
      </c>
      <c r="F371" s="915" t="s">
        <v>573</v>
      </c>
      <c r="G371" s="646"/>
      <c r="H371" s="911" t="s">
        <v>572</v>
      </c>
      <c r="I371" s="645"/>
      <c r="J371" s="646"/>
      <c r="K371" s="647"/>
      <c r="L371" s="645"/>
      <c r="M371" s="646"/>
      <c r="N371" s="647"/>
      <c r="O371" s="645"/>
      <c r="P371" s="646"/>
      <c r="Q371" s="647"/>
      <c r="R371" s="645"/>
      <c r="S371" s="646"/>
      <c r="T371" s="633"/>
      <c r="U371" s="116"/>
      <c r="V371" s="116"/>
      <c r="W371" s="116"/>
      <c r="X371" s="116"/>
      <c r="Y371" s="116"/>
    </row>
    <row r="372" spans="1:25" ht="15.75">
      <c r="A372" s="116"/>
      <c r="B372" s="460"/>
      <c r="C372" s="648"/>
      <c r="D372" s="649" t="s">
        <v>537</v>
      </c>
      <c r="E372" s="650">
        <f t="shared" ref="E372" si="156">E428</f>
        <v>2492679.3031425853</v>
      </c>
      <c r="F372" s="650"/>
      <c r="G372" s="651"/>
      <c r="H372" s="650">
        <f t="shared" ref="H372" si="157">H428</f>
        <v>2381390.4187039449</v>
      </c>
      <c r="I372" s="650"/>
      <c r="J372" s="651"/>
      <c r="K372" s="650">
        <f t="shared" ref="K372" si="158">K428</f>
        <v>2313743.6103921798</v>
      </c>
      <c r="L372" s="650"/>
      <c r="M372" s="651"/>
      <c r="N372" s="650">
        <f t="shared" ref="N372" si="159">N428</f>
        <v>2237490.7949743392</v>
      </c>
      <c r="O372" s="650"/>
      <c r="P372" s="651"/>
      <c r="Q372" s="650">
        <f t="shared" ref="Q372" si="160">Q428</f>
        <v>2237490.7949743392</v>
      </c>
      <c r="R372" s="650"/>
      <c r="S372" s="651"/>
      <c r="T372" s="633"/>
      <c r="U372" s="116"/>
      <c r="V372" s="116"/>
      <c r="W372" s="116"/>
      <c r="X372" s="116"/>
      <c r="Y372" s="116"/>
    </row>
    <row r="373" spans="1:25" ht="15.75">
      <c r="A373" s="116"/>
      <c r="B373" s="485" t="s">
        <v>531</v>
      </c>
      <c r="C373" s="652"/>
      <c r="D373" s="234"/>
      <c r="E373" s="653">
        <v>0</v>
      </c>
      <c r="F373" s="638"/>
      <c r="G373" s="639"/>
      <c r="H373" s="653">
        <v>0</v>
      </c>
      <c r="I373" s="638"/>
      <c r="J373" s="639"/>
      <c r="K373" s="653">
        <v>0</v>
      </c>
      <c r="L373" s="638"/>
      <c r="M373" s="639"/>
      <c r="N373" s="653">
        <v>0</v>
      </c>
      <c r="O373" s="638"/>
      <c r="P373" s="639"/>
      <c r="Q373" s="653">
        <v>0</v>
      </c>
      <c r="R373" s="638"/>
      <c r="S373" s="639"/>
      <c r="T373" s="633"/>
      <c r="U373" s="116"/>
      <c r="V373" s="116"/>
      <c r="W373" s="116"/>
      <c r="X373" s="116"/>
      <c r="Y373" s="116"/>
    </row>
    <row r="374" spans="1:25" ht="15.75">
      <c r="A374" s="320">
        <f>1.6874*1.1888-1</f>
        <v>1.00598112</v>
      </c>
      <c r="B374" s="654"/>
      <c r="C374" s="655"/>
      <c r="D374" s="231"/>
      <c r="E374" s="640">
        <f>E430</f>
        <v>0</v>
      </c>
      <c r="F374" s="640"/>
      <c r="G374" s="232"/>
      <c r="H374" s="640">
        <f>H430</f>
        <v>0</v>
      </c>
      <c r="I374" s="640"/>
      <c r="J374" s="232"/>
      <c r="K374" s="640">
        <f>K430</f>
        <v>0</v>
      </c>
      <c r="L374" s="640"/>
      <c r="M374" s="232"/>
      <c r="N374" s="640">
        <f>N430</f>
        <v>0</v>
      </c>
      <c r="O374" s="640"/>
      <c r="P374" s="232"/>
      <c r="Q374" s="640">
        <f>Q430</f>
        <v>0</v>
      </c>
      <c r="R374" s="640"/>
      <c r="S374" s="232"/>
      <c r="T374" s="633"/>
      <c r="U374" s="116"/>
      <c r="V374" s="116"/>
      <c r="W374" s="116"/>
      <c r="X374" s="116"/>
      <c r="Y374" s="116"/>
    </row>
    <row r="375" spans="1:25" ht="15.75">
      <c r="A375" s="116"/>
      <c r="B375" s="850">
        <v>184</v>
      </c>
      <c r="C375" s="656">
        <f>C431</f>
        <v>23.999999999999996</v>
      </c>
      <c r="D375" s="234" t="s">
        <v>488</v>
      </c>
      <c r="E375" s="853">
        <f>E431</f>
        <v>138139</v>
      </c>
      <c r="F375" s="638"/>
      <c r="G375" s="232"/>
      <c r="H375" s="853">
        <f>H431</f>
        <v>138139</v>
      </c>
      <c r="I375" s="638"/>
      <c r="J375" s="232"/>
      <c r="K375" s="853">
        <f>K431</f>
        <v>73504.799999999988</v>
      </c>
      <c r="L375" s="638"/>
      <c r="M375" s="232"/>
      <c r="N375" s="638">
        <f>N431</f>
        <v>73504.799999999988</v>
      </c>
      <c r="O375" s="638"/>
      <c r="P375" s="232"/>
      <c r="Q375" s="638">
        <f>Q431</f>
        <v>73504.799999999988</v>
      </c>
      <c r="R375" s="638"/>
      <c r="S375" s="232"/>
      <c r="T375" s="633"/>
      <c r="U375" s="116"/>
      <c r="V375" s="116"/>
      <c r="W375" s="116"/>
      <c r="X375" s="116"/>
      <c r="Y375" s="116"/>
    </row>
    <row r="376" spans="1:25" ht="15.75">
      <c r="A376" s="116"/>
      <c r="B376" s="851">
        <v>204</v>
      </c>
      <c r="C376" s="470">
        <f>C432</f>
        <v>24</v>
      </c>
      <c r="D376" s="462" t="s">
        <v>489</v>
      </c>
      <c r="E376" s="658">
        <f>E432</f>
        <v>100297</v>
      </c>
      <c r="F376" s="843" t="s">
        <v>552</v>
      </c>
      <c r="G376" s="657"/>
      <c r="H376" s="658">
        <f>H432</f>
        <v>100297</v>
      </c>
      <c r="I376" s="843" t="s">
        <v>552</v>
      </c>
      <c r="J376" s="657"/>
      <c r="K376" s="658">
        <f>K432</f>
        <v>54907.200000000004</v>
      </c>
      <c r="L376" s="843" t="s">
        <v>552</v>
      </c>
      <c r="M376" s="657"/>
      <c r="N376" s="642">
        <f>N432</f>
        <v>54907.200000000004</v>
      </c>
      <c r="O376" s="642"/>
      <c r="P376" s="657"/>
      <c r="Q376" s="642">
        <f>Q432</f>
        <v>54907.200000000004</v>
      </c>
      <c r="R376" s="642"/>
      <c r="S376" s="657"/>
      <c r="T376" s="633"/>
      <c r="U376" s="116"/>
      <c r="V376" s="116"/>
      <c r="W376" s="116"/>
      <c r="X376" s="116"/>
      <c r="Y376" s="116"/>
    </row>
    <row r="377" spans="1:25" ht="18">
      <c r="A377" s="116"/>
      <c r="B377" s="851">
        <v>234</v>
      </c>
      <c r="C377" s="849">
        <f t="shared" ref="C377:C378" si="161">C433</f>
        <v>15</v>
      </c>
      <c r="D377" s="840" t="s">
        <v>549</v>
      </c>
      <c r="E377" s="658" t="s">
        <v>568</v>
      </c>
      <c r="F377" s="930">
        <f>SUM(E375:E378)</f>
        <v>238436</v>
      </c>
      <c r="G377" s="657"/>
      <c r="H377" s="658" t="s">
        <v>568</v>
      </c>
      <c r="I377" s="930">
        <f>SUM(H375:H378)</f>
        <v>238436</v>
      </c>
      <c r="J377" s="657"/>
      <c r="K377" s="658">
        <f t="shared" ref="K377:K379" si="162">K433</f>
        <v>36000</v>
      </c>
      <c r="L377" s="844">
        <f>SUM(K375:K378)</f>
        <v>188412</v>
      </c>
      <c r="M377" s="657"/>
      <c r="N377" s="642"/>
      <c r="O377" s="642"/>
      <c r="P377" s="657"/>
      <c r="Q377" s="642"/>
      <c r="R377" s="642"/>
      <c r="S377" s="657"/>
      <c r="T377" s="633"/>
      <c r="U377" s="116"/>
      <c r="V377" s="116"/>
      <c r="W377" s="116"/>
      <c r="X377" s="116"/>
      <c r="Y377" s="116"/>
    </row>
    <row r="378" spans="1:25" ht="18.75">
      <c r="A378" s="116"/>
      <c r="B378" s="852">
        <v>244</v>
      </c>
      <c r="C378" s="849">
        <f t="shared" si="161"/>
        <v>15</v>
      </c>
      <c r="D378" s="842" t="s">
        <v>550</v>
      </c>
      <c r="E378" s="658" t="s">
        <v>569</v>
      </c>
      <c r="F378" s="854">
        <f>F377/F387</f>
        <v>0.1089084109144412</v>
      </c>
      <c r="G378" s="639"/>
      <c r="H378" s="658" t="s">
        <v>569</v>
      </c>
      <c r="I378" s="854">
        <f>I377/I387</f>
        <v>0.11376194706582374</v>
      </c>
      <c r="J378" s="639"/>
      <c r="K378" s="658">
        <f t="shared" si="162"/>
        <v>24000</v>
      </c>
      <c r="L378" s="854">
        <f>L377/L387</f>
        <v>9.4530617378828549E-2</v>
      </c>
      <c r="M378" s="639"/>
      <c r="N378" s="658">
        <f t="shared" ref="N378:N379" si="163">N434</f>
        <v>24000</v>
      </c>
      <c r="O378" s="638"/>
      <c r="P378" s="639"/>
      <c r="Q378" s="659"/>
      <c r="R378" s="638"/>
      <c r="S378" s="639"/>
      <c r="T378" s="633"/>
      <c r="U378" s="116"/>
      <c r="V378" s="116"/>
      <c r="W378" s="116"/>
      <c r="X378" s="116"/>
      <c r="Y378" s="116"/>
    </row>
    <row r="379" spans="1:25" ht="15.75">
      <c r="A379" s="116"/>
      <c r="B379" s="472"/>
      <c r="C379" s="660"/>
      <c r="D379" s="661" t="s">
        <v>532</v>
      </c>
      <c r="E379" s="662">
        <f t="shared" ref="E379" si="164">E435</f>
        <v>2731115.3031425853</v>
      </c>
      <c r="F379" s="662"/>
      <c r="G379" s="663"/>
      <c r="H379" s="662">
        <f t="shared" ref="H379" si="165">H435</f>
        <v>2619826.4187039449</v>
      </c>
      <c r="I379" s="662"/>
      <c r="J379" s="663"/>
      <c r="K379" s="662">
        <f t="shared" si="162"/>
        <v>2502155.6103921798</v>
      </c>
      <c r="L379" s="662"/>
      <c r="M379" s="663"/>
      <c r="N379" s="662">
        <f t="shared" si="163"/>
        <v>2425902.7949743392</v>
      </c>
      <c r="O379" s="662"/>
      <c r="P379" s="663"/>
      <c r="Q379" s="662">
        <f>Q435</f>
        <v>2365902.7949743392</v>
      </c>
      <c r="R379" s="662"/>
      <c r="S379" s="663"/>
      <c r="T379" s="633"/>
      <c r="U379" s="116"/>
      <c r="V379" s="116"/>
      <c r="W379" s="116"/>
      <c r="X379" s="116"/>
      <c r="Y379" s="116"/>
    </row>
    <row r="380" spans="1:25" ht="15.75">
      <c r="A380" s="116"/>
      <c r="B380" s="466">
        <v>440</v>
      </c>
      <c r="C380" s="664"/>
      <c r="D380" s="234" t="s">
        <v>491</v>
      </c>
      <c r="E380" s="653">
        <v>0</v>
      </c>
      <c r="F380" s="638">
        <f t="shared" ref="F380:F385" si="166">F436</f>
        <v>0</v>
      </c>
      <c r="G380" s="639"/>
      <c r="H380" s="653">
        <v>0</v>
      </c>
      <c r="I380" s="638">
        <f t="shared" ref="I380:I385" si="167">I436</f>
        <v>0</v>
      </c>
      <c r="J380" s="639"/>
      <c r="K380" s="653">
        <v>0</v>
      </c>
      <c r="L380" s="638">
        <f t="shared" ref="L380:L385" si="168">L436</f>
        <v>0</v>
      </c>
      <c r="M380" s="639"/>
      <c r="N380" s="653">
        <v>0</v>
      </c>
      <c r="O380" s="638">
        <f t="shared" ref="O380:O385" si="169">O436</f>
        <v>0</v>
      </c>
      <c r="P380" s="639"/>
      <c r="Q380" s="653">
        <v>0</v>
      </c>
      <c r="R380" s="638">
        <f t="shared" ref="R380:R385" si="170">R436</f>
        <v>0</v>
      </c>
      <c r="S380" s="639"/>
      <c r="T380" s="633"/>
      <c r="U380" s="116"/>
      <c r="V380" s="116"/>
      <c r="W380" s="116"/>
      <c r="X380" s="116"/>
      <c r="Y380" s="116"/>
    </row>
    <row r="381" spans="1:25" ht="15.75">
      <c r="A381" s="116"/>
      <c r="B381" s="472">
        <v>502</v>
      </c>
      <c r="C381" s="271" t="s">
        <v>492</v>
      </c>
      <c r="D381" s="499" t="s">
        <v>533</v>
      </c>
      <c r="E381" s="463"/>
      <c r="F381" s="636">
        <f t="shared" si="166"/>
        <v>-467909.0675970912</v>
      </c>
      <c r="G381" s="665"/>
      <c r="H381" s="463"/>
      <c r="I381" s="636">
        <f t="shared" si="167"/>
        <v>-452464.17955374951</v>
      </c>
      <c r="J381" s="665"/>
      <c r="K381" s="463"/>
      <c r="L381" s="636">
        <f t="shared" si="168"/>
        <v>-439611.28597451415</v>
      </c>
      <c r="M381" s="665"/>
      <c r="N381" s="463"/>
      <c r="O381" s="636">
        <f t="shared" si="169"/>
        <v>-425123.25104512443</v>
      </c>
      <c r="P381" s="665"/>
      <c r="Q381" s="463"/>
      <c r="R381" s="636">
        <f t="shared" si="170"/>
        <v>-425123.25104512443</v>
      </c>
      <c r="S381" s="665"/>
      <c r="T381" s="633"/>
      <c r="U381" s="116"/>
      <c r="V381" s="116"/>
      <c r="W381" s="116"/>
      <c r="X381" s="116"/>
      <c r="Y381" s="116"/>
    </row>
    <row r="382" spans="1:25" ht="15.75">
      <c r="A382" s="116"/>
      <c r="B382" s="472">
        <v>505</v>
      </c>
      <c r="C382" s="472">
        <v>0.03</v>
      </c>
      <c r="D382" s="499" t="s">
        <v>534</v>
      </c>
      <c r="E382" s="463"/>
      <c r="F382" s="636">
        <f t="shared" si="166"/>
        <v>-73880.379094277552</v>
      </c>
      <c r="G382" s="665"/>
      <c r="H382" s="463"/>
      <c r="I382" s="636">
        <f t="shared" si="167"/>
        <v>-71441.712561118344</v>
      </c>
      <c r="J382" s="665"/>
      <c r="K382" s="463"/>
      <c r="L382" s="636">
        <f t="shared" si="168"/>
        <v>-69412.308311765388</v>
      </c>
      <c r="M382" s="665"/>
      <c r="N382" s="463"/>
      <c r="O382" s="636">
        <f t="shared" si="169"/>
        <v>-67124.723849230169</v>
      </c>
      <c r="P382" s="665"/>
      <c r="Q382" s="463"/>
      <c r="R382" s="636">
        <f t="shared" si="170"/>
        <v>-67124.723849230169</v>
      </c>
      <c r="S382" s="665"/>
      <c r="T382" s="633"/>
      <c r="U382" s="116"/>
      <c r="V382" s="116"/>
      <c r="W382" s="116"/>
      <c r="X382" s="116"/>
      <c r="Y382" s="116"/>
    </row>
    <row r="383" spans="1:25" ht="15.75">
      <c r="A383" s="116"/>
      <c r="B383" s="666">
        <v>332</v>
      </c>
      <c r="C383" s="667">
        <v>0</v>
      </c>
      <c r="D383" s="495" t="s">
        <v>496</v>
      </c>
      <c r="E383" s="468"/>
      <c r="F383" s="668">
        <f t="shared" si="166"/>
        <v>0</v>
      </c>
      <c r="G383" s="669"/>
      <c r="H383" s="468"/>
      <c r="I383" s="668">
        <f t="shared" si="167"/>
        <v>0</v>
      </c>
      <c r="J383" s="669"/>
      <c r="K383" s="468"/>
      <c r="L383" s="668">
        <f t="shared" si="168"/>
        <v>0</v>
      </c>
      <c r="M383" s="669"/>
      <c r="N383" s="468"/>
      <c r="O383" s="668">
        <f t="shared" si="169"/>
        <v>0</v>
      </c>
      <c r="P383" s="669"/>
      <c r="Q383" s="468"/>
      <c r="R383" s="668">
        <f t="shared" si="170"/>
        <v>0</v>
      </c>
      <c r="S383" s="669"/>
      <c r="T383" s="633"/>
      <c r="U383" s="116"/>
      <c r="V383" s="116"/>
      <c r="W383" s="116"/>
      <c r="X383" s="116"/>
      <c r="Y383" s="116"/>
    </row>
    <row r="384" spans="1:25" ht="15.75">
      <c r="A384" s="116"/>
      <c r="B384" s="497" t="s">
        <v>497</v>
      </c>
      <c r="C384" s="473">
        <v>0</v>
      </c>
      <c r="D384" s="231"/>
      <c r="E384" s="640"/>
      <c r="F384" s="640">
        <f t="shared" si="166"/>
        <v>0</v>
      </c>
      <c r="G384" s="232"/>
      <c r="H384" s="640"/>
      <c r="I384" s="640">
        <f t="shared" si="167"/>
        <v>0</v>
      </c>
      <c r="J384" s="232"/>
      <c r="K384" s="640"/>
      <c r="L384" s="640">
        <f t="shared" si="168"/>
        <v>0</v>
      </c>
      <c r="M384" s="232"/>
      <c r="N384" s="640"/>
      <c r="O384" s="640">
        <f t="shared" si="169"/>
        <v>0</v>
      </c>
      <c r="P384" s="232"/>
      <c r="Q384" s="640"/>
      <c r="R384" s="640">
        <f t="shared" si="170"/>
        <v>0</v>
      </c>
      <c r="S384" s="232"/>
      <c r="T384" s="633"/>
      <c r="U384" s="116"/>
      <c r="V384" s="116"/>
      <c r="W384" s="116"/>
      <c r="X384" s="116"/>
      <c r="Y384" s="116"/>
    </row>
    <row r="385" spans="1:25" ht="15.75">
      <c r="A385" s="116"/>
      <c r="B385" s="670"/>
      <c r="C385" s="670"/>
      <c r="D385" s="671" t="s">
        <v>498</v>
      </c>
      <c r="E385" s="672"/>
      <c r="F385" s="672">
        <f t="shared" si="166"/>
        <v>-541789.44669136871</v>
      </c>
      <c r="G385" s="673"/>
      <c r="H385" s="672"/>
      <c r="I385" s="672">
        <f t="shared" si="167"/>
        <v>-523905.89211486786</v>
      </c>
      <c r="J385" s="673"/>
      <c r="K385" s="672"/>
      <c r="L385" s="672">
        <f t="shared" si="168"/>
        <v>-509023.59428627952</v>
      </c>
      <c r="M385" s="673"/>
      <c r="N385" s="672"/>
      <c r="O385" s="672">
        <f t="shared" si="169"/>
        <v>-492247.97489435459</v>
      </c>
      <c r="P385" s="673"/>
      <c r="Q385" s="672"/>
      <c r="R385" s="672">
        <f t="shared" si="170"/>
        <v>-492247.97489435459</v>
      </c>
      <c r="S385" s="673"/>
      <c r="T385" s="633"/>
      <c r="U385" s="116"/>
      <c r="V385" s="116"/>
      <c r="W385" s="116"/>
      <c r="X385" s="116"/>
      <c r="Y385" s="116"/>
    </row>
    <row r="386" spans="1:25" ht="15.75">
      <c r="A386" s="116"/>
      <c r="B386" s="674"/>
      <c r="C386" s="674"/>
      <c r="D386" s="674"/>
      <c r="E386" s="675"/>
      <c r="F386" s="675"/>
      <c r="G386" s="676"/>
      <c r="H386" s="675"/>
      <c r="I386" s="675"/>
      <c r="J386" s="676"/>
      <c r="K386" s="675"/>
      <c r="L386" s="675"/>
      <c r="M386" s="676"/>
      <c r="N386" s="675"/>
      <c r="O386" s="675"/>
      <c r="P386" s="676"/>
      <c r="Q386" s="675"/>
      <c r="R386" s="675"/>
      <c r="S386" s="676"/>
      <c r="T386" s="116"/>
      <c r="U386" s="116"/>
      <c r="V386" s="116"/>
      <c r="W386" s="116"/>
      <c r="X386" s="116"/>
      <c r="Y386" s="116"/>
    </row>
    <row r="387" spans="1:25" ht="20.25">
      <c r="A387" s="677"/>
      <c r="B387" s="678"/>
      <c r="C387" s="677"/>
      <c r="D387" s="679"/>
      <c r="E387" s="680" t="str">
        <f t="shared" ref="E387:F387" si="171">E443</f>
        <v>Sueldo líquido</v>
      </c>
      <c r="F387" s="929">
        <f t="shared" si="171"/>
        <v>2189325.8564512166</v>
      </c>
      <c r="G387" s="679"/>
      <c r="H387" s="680" t="str">
        <f t="shared" ref="H387:I387" si="172">H443</f>
        <v>Sueldo líquido</v>
      </c>
      <c r="I387" s="929">
        <f t="shared" si="172"/>
        <v>2095920.526589077</v>
      </c>
      <c r="J387" s="679"/>
      <c r="K387" s="680" t="str">
        <f t="shared" ref="K387:L387" si="173">K443</f>
        <v>Sueldo líquido</v>
      </c>
      <c r="L387" s="680">
        <f t="shared" si="173"/>
        <v>1993132.0161059003</v>
      </c>
      <c r="M387" s="679"/>
      <c r="N387" s="680" t="str">
        <f t="shared" ref="N387:O387" si="174">N443</f>
        <v>Sueldo líquido</v>
      </c>
      <c r="O387" s="680">
        <f t="shared" si="174"/>
        <v>1933654.8200799846</v>
      </c>
      <c r="P387" s="679"/>
      <c r="Q387" s="680" t="str">
        <f t="shared" ref="Q387:R387" si="175">Q443</f>
        <v>Sueldo líquido</v>
      </c>
      <c r="R387" s="680">
        <f t="shared" si="175"/>
        <v>1873654.8200799846</v>
      </c>
      <c r="S387" s="679"/>
      <c r="T387" s="681"/>
      <c r="U387" s="677"/>
      <c r="V387" s="677"/>
      <c r="W387" s="677"/>
      <c r="X387" s="677"/>
      <c r="Y387" s="677"/>
    </row>
    <row r="388" spans="1:25" ht="15.75">
      <c r="A388" s="116"/>
      <c r="B388" s="682"/>
      <c r="C388" s="31"/>
      <c r="D388" s="91"/>
      <c r="E388" s="683"/>
      <c r="F388" s="521"/>
      <c r="G388" s="519"/>
      <c r="H388" s="683"/>
      <c r="I388" s="521"/>
      <c r="J388" s="519"/>
      <c r="K388" s="683"/>
      <c r="L388" s="521"/>
      <c r="M388" s="519"/>
      <c r="N388" s="683"/>
      <c r="O388" s="521"/>
      <c r="P388" s="519"/>
      <c r="Q388" s="683"/>
      <c r="R388" s="521"/>
      <c r="S388" s="519"/>
      <c r="T388" s="633"/>
      <c r="U388" s="116"/>
      <c r="V388" s="116"/>
      <c r="W388" s="116"/>
      <c r="X388" s="116"/>
      <c r="Y388" s="116"/>
    </row>
    <row r="389" spans="1:25" ht="16.5" thickBot="1">
      <c r="A389" s="116"/>
      <c r="B389" s="362"/>
      <c r="C389" s="31"/>
      <c r="D389" s="91"/>
      <c r="E389" s="684"/>
      <c r="F389" s="685"/>
      <c r="G389" s="519"/>
      <c r="H389" s="684"/>
      <c r="I389" s="685"/>
      <c r="J389" s="519"/>
      <c r="K389" s="684"/>
      <c r="L389" s="685"/>
      <c r="M389" s="519"/>
      <c r="N389" s="684"/>
      <c r="O389" s="685"/>
      <c r="P389" s="519"/>
      <c r="Q389" s="684"/>
      <c r="R389" s="685"/>
      <c r="S389" s="519"/>
      <c r="T389" s="633"/>
      <c r="U389" s="116"/>
      <c r="V389" s="116"/>
      <c r="W389" s="116"/>
      <c r="X389" s="116"/>
      <c r="Y389" s="116"/>
    </row>
    <row r="390" spans="1:25" ht="15.75">
      <c r="A390" s="116"/>
      <c r="B390" s="362"/>
      <c r="C390" s="31"/>
      <c r="D390" s="91"/>
      <c r="E390" s="686" t="str">
        <f t="shared" ref="E390:F390" si="176">E445</f>
        <v>Aumento del mes</v>
      </c>
      <c r="F390" s="687">
        <f t="shared" si="176"/>
        <v>93405.329862139653</v>
      </c>
      <c r="G390" s="519"/>
      <c r="H390" s="686" t="str">
        <f t="shared" ref="H390:I390" si="177">H445</f>
        <v>Aumento del mes</v>
      </c>
      <c r="I390" s="687">
        <f t="shared" si="177"/>
        <v>102788.51048317668</v>
      </c>
      <c r="J390" s="519"/>
      <c r="K390" s="686" t="str">
        <f t="shared" ref="K390:L391" si="178">K445</f>
        <v>Aumento del mes</v>
      </c>
      <c r="L390" s="687">
        <f t="shared" si="178"/>
        <v>59477.196025915677</v>
      </c>
      <c r="M390" s="519"/>
      <c r="N390" s="686" t="str">
        <f t="shared" ref="N390:O391" si="179">N445</f>
        <v>Aumento del mes</v>
      </c>
      <c r="O390" s="687">
        <f t="shared" si="179"/>
        <v>60000</v>
      </c>
      <c r="P390" s="519"/>
      <c r="Q390" s="686" t="str">
        <f t="shared" ref="Q390:R391" si="180">Q445</f>
        <v>Aumento del mes</v>
      </c>
      <c r="R390" s="687">
        <f t="shared" si="180"/>
        <v>0</v>
      </c>
      <c r="S390" s="519"/>
      <c r="T390" s="633"/>
      <c r="U390" s="116"/>
      <c r="V390" s="116"/>
      <c r="W390" s="116"/>
      <c r="X390" s="116"/>
      <c r="Y390" s="116"/>
    </row>
    <row r="391" spans="1:25" ht="16.5" thickBot="1">
      <c r="A391" s="116"/>
      <c r="B391" s="362"/>
      <c r="C391" s="31"/>
      <c r="D391" s="91"/>
      <c r="E391" s="688" t="str">
        <f t="shared" ref="E391:F391" si="181">E446</f>
        <v>Porc resp a anterior</v>
      </c>
      <c r="F391" s="689">
        <f t="shared" si="181"/>
        <v>4.4565301344774017E-2</v>
      </c>
      <c r="G391" s="519"/>
      <c r="H391" s="688" t="str">
        <f t="shared" ref="H391:I391" si="182">H446</f>
        <v>Porc resp a anterior</v>
      </c>
      <c r="I391" s="689">
        <f t="shared" si="182"/>
        <v>5.1571350845088855E-2</v>
      </c>
      <c r="J391" s="519"/>
      <c r="K391" s="688" t="str">
        <f t="shared" si="178"/>
        <v>Porc resp a anterior</v>
      </c>
      <c r="L391" s="689">
        <f t="shared" si="178"/>
        <v>3.075895211920783E-2</v>
      </c>
      <c r="M391" s="519"/>
      <c r="N391" s="688" t="str">
        <f t="shared" si="179"/>
        <v>Porc resp a anterior</v>
      </c>
      <c r="O391" s="689">
        <f t="shared" si="179"/>
        <v>3.2022974219679722E-2</v>
      </c>
      <c r="P391" s="519"/>
      <c r="Q391" s="688" t="str">
        <f t="shared" si="180"/>
        <v>Porc resp a anterior</v>
      </c>
      <c r="R391" s="689">
        <f t="shared" si="180"/>
        <v>0</v>
      </c>
      <c r="S391" s="519"/>
      <c r="T391" s="633"/>
      <c r="U391" s="116"/>
      <c r="V391" s="116"/>
      <c r="W391" s="116"/>
      <c r="X391" s="116"/>
      <c r="Y391" s="116"/>
    </row>
    <row r="392" spans="1:25" ht="16.5" thickBot="1">
      <c r="A392" s="116"/>
      <c r="B392" s="31"/>
      <c r="C392" s="31"/>
      <c r="D392" s="690"/>
      <c r="E392" s="684"/>
      <c r="F392" s="684"/>
      <c r="G392" s="281"/>
      <c r="H392" s="684"/>
      <c r="I392" s="684"/>
      <c r="J392" s="281"/>
      <c r="K392" s="684"/>
      <c r="L392" s="684"/>
      <c r="M392" s="281"/>
      <c r="N392" s="684"/>
      <c r="O392" s="684"/>
      <c r="P392" s="281"/>
      <c r="Q392" s="684"/>
      <c r="R392" s="684"/>
      <c r="S392" s="281"/>
      <c r="T392" s="633"/>
      <c r="U392" s="116"/>
      <c r="V392" s="116"/>
      <c r="W392" s="116"/>
      <c r="X392" s="116"/>
      <c r="Y392" s="116"/>
    </row>
    <row r="393" spans="1:25" ht="15.75">
      <c r="A393" s="116"/>
      <c r="B393" s="524"/>
      <c r="C393" s="691"/>
      <c r="D393" s="80"/>
      <c r="E393" s="692" t="str">
        <f>E448</f>
        <v>Aumento acumulado</v>
      </c>
      <c r="F393" s="301">
        <f>F448</f>
        <v>315671.03637123201</v>
      </c>
      <c r="G393" s="527"/>
      <c r="H393" s="692" t="str">
        <f>H448</f>
        <v>Aumento acumulado</v>
      </c>
      <c r="I393" s="301">
        <f>I448</f>
        <v>222265.70650909236</v>
      </c>
      <c r="J393" s="527"/>
      <c r="K393" s="692" t="str">
        <f>K448</f>
        <v>Aumento acumulado</v>
      </c>
      <c r="L393" s="301">
        <f>L448</f>
        <v>119477.19602591568</v>
      </c>
      <c r="M393" s="527"/>
      <c r="N393" s="692" t="str">
        <f>N448</f>
        <v>Aumento acumulado</v>
      </c>
      <c r="O393" s="301">
        <f>O448</f>
        <v>60000</v>
      </c>
      <c r="P393" s="527"/>
      <c r="Q393" s="692" t="str">
        <f>Q448</f>
        <v>Aumento acumulado</v>
      </c>
      <c r="R393" s="301">
        <f>R448</f>
        <v>0</v>
      </c>
      <c r="S393" s="527"/>
      <c r="T393" s="633"/>
      <c r="U393" s="116"/>
      <c r="V393" s="116"/>
      <c r="W393" s="116"/>
      <c r="X393" s="116"/>
      <c r="Y393" s="116"/>
    </row>
    <row r="394" spans="1:25" ht="18.75" thickBot="1">
      <c r="A394" s="116"/>
      <c r="B394" s="524"/>
      <c r="C394" s="91"/>
      <c r="D394" s="289"/>
      <c r="E394" s="693" t="str">
        <f>E449</f>
        <v>Porcentaje acumulado</v>
      </c>
      <c r="F394" s="534">
        <f>F449</f>
        <v>0.16847875766025905</v>
      </c>
      <c r="G394" s="527"/>
      <c r="H394" s="693" t="str">
        <f>H449</f>
        <v>Porcentaje acumulado</v>
      </c>
      <c r="I394" s="534">
        <f>I449</f>
        <v>0.11862681649099274</v>
      </c>
      <c r="J394" s="527"/>
      <c r="K394" s="693" t="str">
        <f>K449</f>
        <v>Porcentaje acumulado</v>
      </c>
      <c r="L394" s="534">
        <f>L449</f>
        <v>6.3766919469625316E-2</v>
      </c>
      <c r="M394" s="527"/>
      <c r="N394" s="693" t="str">
        <f>N449</f>
        <v>Porcentaje acumulado</v>
      </c>
      <c r="O394" s="534">
        <f>O449</f>
        <v>3.2022974219679722E-2</v>
      </c>
      <c r="P394" s="527"/>
      <c r="Q394" s="693" t="str">
        <f>Q449</f>
        <v>Porcentaje acumulado</v>
      </c>
      <c r="R394" s="534">
        <f>R449</f>
        <v>0</v>
      </c>
      <c r="S394" s="527"/>
      <c r="T394" s="633"/>
      <c r="U394" s="116"/>
      <c r="V394" s="116"/>
      <c r="W394" s="116"/>
      <c r="X394" s="116"/>
      <c r="Y394" s="116"/>
    </row>
    <row r="395" spans="1:25" ht="16.5" thickBot="1">
      <c r="A395" s="116"/>
      <c r="B395" s="524"/>
      <c r="C395" s="694"/>
      <c r="D395" s="31"/>
      <c r="E395" s="684"/>
      <c r="F395" s="684"/>
      <c r="G395" s="527"/>
      <c r="H395" s="684"/>
      <c r="I395" s="684"/>
      <c r="J395" s="527"/>
      <c r="K395" s="684"/>
      <c r="L395" s="684"/>
      <c r="M395" s="527"/>
      <c r="N395" s="684"/>
      <c r="O395" s="684"/>
      <c r="P395" s="527"/>
      <c r="Q395" s="684"/>
      <c r="R395" s="684"/>
      <c r="S395" s="527"/>
      <c r="T395" s="116"/>
      <c r="U395" s="116"/>
      <c r="V395" s="116"/>
      <c r="W395" s="116"/>
      <c r="X395" s="116"/>
      <c r="Y395" s="116"/>
    </row>
    <row r="396" spans="1:25" ht="15.75">
      <c r="A396" s="116"/>
      <c r="B396" s="31"/>
      <c r="C396" s="31"/>
      <c r="D396" s="31"/>
      <c r="E396" s="695" t="str">
        <f t="shared" ref="E396:F396" si="183">E451</f>
        <v>Aumento Remunerativo</v>
      </c>
      <c r="F396" s="305">
        <f t="shared" si="183"/>
        <v>93405.329862139653</v>
      </c>
      <c r="G396" s="281"/>
      <c r="H396" s="695" t="str">
        <f t="shared" ref="H396:I396" si="184">H451</f>
        <v>Aumento Remunerativo</v>
      </c>
      <c r="I396" s="305">
        <f t="shared" si="184"/>
        <v>52764.51048317668</v>
      </c>
      <c r="J396" s="281"/>
      <c r="K396" s="695" t="str">
        <f t="shared" ref="K396:L397" si="185">K451</f>
        <v>Aumento Remunerativo</v>
      </c>
      <c r="L396" s="305">
        <f t="shared" si="185"/>
        <v>59477.196025915677</v>
      </c>
      <c r="M396" s="281"/>
      <c r="N396" s="695" t="str">
        <f t="shared" ref="N396:O397" si="186">N451</f>
        <v>Aumento Remunerativo</v>
      </c>
      <c r="O396" s="305">
        <f t="shared" si="186"/>
        <v>0</v>
      </c>
      <c r="P396" s="281"/>
      <c r="Q396" s="695" t="str">
        <f t="shared" ref="Q396:R397" si="187">Q451</f>
        <v>Aumento Remunerativo</v>
      </c>
      <c r="R396" s="305">
        <f t="shared" si="187"/>
        <v>0</v>
      </c>
      <c r="S396" s="281"/>
      <c r="T396" s="633"/>
      <c r="U396" s="116"/>
      <c r="V396" s="116"/>
      <c r="W396" s="116"/>
      <c r="X396" s="116"/>
      <c r="Y396" s="116"/>
    </row>
    <row r="397" spans="1:25" ht="16.5" thickBot="1">
      <c r="A397" s="116"/>
      <c r="B397" s="31"/>
      <c r="C397" s="31"/>
      <c r="D397" s="31"/>
      <c r="E397" s="696" t="str">
        <f t="shared" ref="E397:F397" si="188">E452</f>
        <v>Rem Porcentual</v>
      </c>
      <c r="F397" s="542">
        <f t="shared" si="188"/>
        <v>4.7878320528074017E-2</v>
      </c>
      <c r="G397" s="281"/>
      <c r="H397" s="696" t="str">
        <f t="shared" ref="H397:I397" si="189">H452</f>
        <v>Rem Porcentual</v>
      </c>
      <c r="I397" s="542">
        <f t="shared" si="189"/>
        <v>2.8406433393051645E-2</v>
      </c>
      <c r="J397" s="281"/>
      <c r="K397" s="696" t="str">
        <f t="shared" si="185"/>
        <v>Rem Porcentual</v>
      </c>
      <c r="L397" s="542">
        <f t="shared" si="185"/>
        <v>3.4079610780573116E-2</v>
      </c>
      <c r="M397" s="281"/>
      <c r="N397" s="696" t="str">
        <f t="shared" si="186"/>
        <v>Rem Porcentual</v>
      </c>
      <c r="O397" s="542">
        <f t="shared" si="186"/>
        <v>0</v>
      </c>
      <c r="P397" s="281"/>
      <c r="Q397" s="696" t="str">
        <f t="shared" si="187"/>
        <v>Rem Porcentual</v>
      </c>
      <c r="R397" s="542">
        <f t="shared" si="187"/>
        <v>0</v>
      </c>
      <c r="S397" s="281"/>
      <c r="T397" s="633"/>
      <c r="U397" s="116"/>
      <c r="V397" s="116"/>
      <c r="W397" s="116"/>
      <c r="X397" s="116"/>
      <c r="Y397" s="116"/>
    </row>
    <row r="398" spans="1:25" ht="16.5" thickBot="1">
      <c r="A398" s="116"/>
      <c r="B398" s="31"/>
      <c r="C398" s="31"/>
      <c r="D398" s="31"/>
      <c r="E398" s="684"/>
      <c r="F398" s="684"/>
      <c r="G398" s="281"/>
      <c r="H398" s="684"/>
      <c r="I398" s="684"/>
      <c r="J398" s="281"/>
      <c r="K398" s="684"/>
      <c r="L398" s="684"/>
      <c r="M398" s="281"/>
      <c r="N398" s="684"/>
      <c r="O398" s="684"/>
      <c r="P398" s="281"/>
      <c r="Q398" s="684"/>
      <c r="R398" s="684"/>
      <c r="S398" s="281"/>
      <c r="T398" s="633"/>
      <c r="U398" s="116"/>
      <c r="V398" s="116"/>
      <c r="W398" s="116"/>
      <c r="X398" s="116"/>
      <c r="Y398" s="116"/>
    </row>
    <row r="399" spans="1:25" ht="15.75">
      <c r="A399" s="116"/>
      <c r="B399" s="31"/>
      <c r="C399" s="31"/>
      <c r="D399" s="31"/>
      <c r="E399" s="304" t="s">
        <v>508</v>
      </c>
      <c r="F399" s="305">
        <f t="shared" ref="F399:F400" si="190">F454</f>
        <v>205647.03637123201</v>
      </c>
      <c r="G399" s="281"/>
      <c r="H399" s="304" t="s">
        <v>508</v>
      </c>
      <c r="I399" s="305">
        <f t="shared" ref="I399:I400" si="191">I454</f>
        <v>112241.70650909236</v>
      </c>
      <c r="J399" s="281"/>
      <c r="K399" s="304" t="s">
        <v>508</v>
      </c>
      <c r="L399" s="305">
        <f t="shared" ref="L399:L400" si="192">L454</f>
        <v>59477.196025915677</v>
      </c>
      <c r="M399" s="281"/>
      <c r="N399" s="304" t="s">
        <v>508</v>
      </c>
      <c r="O399" s="305">
        <f t="shared" ref="O399:O400" si="193">O454</f>
        <v>0</v>
      </c>
      <c r="P399" s="281"/>
      <c r="Q399" s="684"/>
      <c r="R399" s="697"/>
      <c r="S399" s="281"/>
      <c r="T399" s="633"/>
      <c r="U399" s="116"/>
      <c r="V399" s="116"/>
      <c r="W399" s="116"/>
      <c r="X399" s="116"/>
      <c r="Y399" s="116"/>
    </row>
    <row r="400" spans="1:25" ht="16.5" thickBot="1">
      <c r="A400" s="116"/>
      <c r="B400" s="31"/>
      <c r="C400" s="31"/>
      <c r="D400" s="31"/>
      <c r="E400" s="306" t="s">
        <v>500</v>
      </c>
      <c r="F400" s="307">
        <f t="shared" si="190"/>
        <v>0.11783290783674857</v>
      </c>
      <c r="G400" s="281"/>
      <c r="H400" s="306" t="s">
        <v>500</v>
      </c>
      <c r="I400" s="307">
        <f t="shared" si="191"/>
        <v>6.4312945578511707E-2</v>
      </c>
      <c r="J400" s="281"/>
      <c r="K400" s="306" t="s">
        <v>500</v>
      </c>
      <c r="L400" s="307">
        <f t="shared" si="192"/>
        <v>3.4079610780573116E-2</v>
      </c>
      <c r="M400" s="281"/>
      <c r="N400" s="306" t="s">
        <v>500</v>
      </c>
      <c r="O400" s="307">
        <f t="shared" si="193"/>
        <v>0</v>
      </c>
      <c r="P400" s="281"/>
      <c r="Q400" s="684"/>
      <c r="R400" s="697"/>
      <c r="S400" s="281"/>
      <c r="T400" s="633"/>
      <c r="U400" s="116"/>
      <c r="V400" s="116"/>
      <c r="W400" s="116"/>
      <c r="X400" s="116"/>
      <c r="Y400" s="116"/>
    </row>
    <row r="401" spans="1:25" ht="16.5" thickBot="1">
      <c r="A401" s="116"/>
      <c r="B401" s="31"/>
      <c r="C401" s="31"/>
      <c r="D401" s="31"/>
      <c r="E401" s="684"/>
      <c r="F401" s="697"/>
      <c r="G401" s="281"/>
      <c r="H401" s="684"/>
      <c r="I401" s="697"/>
      <c r="J401" s="281"/>
      <c r="K401" s="684"/>
      <c r="L401" s="697"/>
      <c r="M401" s="281"/>
      <c r="N401" s="684"/>
      <c r="O401" s="697"/>
      <c r="P401" s="281"/>
      <c r="Q401" s="684"/>
      <c r="R401" s="697"/>
      <c r="S401" s="281"/>
      <c r="T401" s="633"/>
      <c r="U401" s="116"/>
      <c r="V401" s="116"/>
      <c r="W401" s="116"/>
      <c r="X401" s="116"/>
      <c r="Y401" s="116"/>
    </row>
    <row r="402" spans="1:25" ht="16.5" thickTop="1">
      <c r="A402" s="116"/>
      <c r="B402" s="31"/>
      <c r="C402" s="31"/>
      <c r="D402" s="31"/>
      <c r="E402" s="698" t="str">
        <f t="shared" ref="E402" si="194">E457</f>
        <v>Medio Aguinaldo</v>
      </c>
      <c r="F402" s="699"/>
      <c r="G402" s="281"/>
      <c r="H402" s="698" t="str">
        <f t="shared" ref="H402" si="195">H457</f>
        <v>Medio Aguinaldo</v>
      </c>
      <c r="I402" s="699"/>
      <c r="J402" s="281"/>
      <c r="K402" s="698" t="str">
        <f t="shared" ref="K402:L408" si="196">K457</f>
        <v>Medio Aguinaldo</v>
      </c>
      <c r="L402" s="699"/>
      <c r="M402" s="281"/>
      <c r="N402" s="698" t="str">
        <f t="shared" ref="N402:O408" si="197">N457</f>
        <v>Medio Aguinaldo</v>
      </c>
      <c r="O402" s="699"/>
      <c r="P402" s="281"/>
      <c r="Q402" s="698" t="str">
        <f t="shared" ref="Q402:R408" si="198">Q457</f>
        <v>Medio Aguinaldo</v>
      </c>
      <c r="R402" s="699"/>
      <c r="S402" s="281"/>
      <c r="T402" s="633"/>
      <c r="U402" s="116"/>
      <c r="V402" s="116"/>
      <c r="W402" s="116"/>
      <c r="X402" s="116"/>
      <c r="Y402" s="116"/>
    </row>
    <row r="403" spans="1:25" ht="15.75">
      <c r="A403" s="116"/>
      <c r="B403" s="31"/>
      <c r="C403" s="31"/>
      <c r="D403" s="31"/>
      <c r="E403" s="700" t="str">
        <f t="shared" ref="E403:F403" si="199">E458</f>
        <v>código 100</v>
      </c>
      <c r="F403" s="701">
        <f t="shared" si="199"/>
        <v>1231339.6515712927</v>
      </c>
      <c r="G403" s="281"/>
      <c r="H403" s="700" t="str">
        <f t="shared" ref="H403:I403" si="200">H458</f>
        <v>código 100</v>
      </c>
      <c r="I403" s="701">
        <f t="shared" si="200"/>
        <v>1190695.2093519724</v>
      </c>
      <c r="J403" s="281"/>
      <c r="K403" s="700" t="str">
        <f t="shared" si="196"/>
        <v>código 100</v>
      </c>
      <c r="L403" s="701">
        <f t="shared" si="196"/>
        <v>1156871.8051960899</v>
      </c>
      <c r="M403" s="281"/>
      <c r="N403" s="700" t="str">
        <f t="shared" si="197"/>
        <v>código 100</v>
      </c>
      <c r="O403" s="701">
        <f t="shared" si="197"/>
        <v>1118745.3974871696</v>
      </c>
      <c r="P403" s="281"/>
      <c r="Q403" s="700" t="str">
        <f t="shared" si="198"/>
        <v>código 100</v>
      </c>
      <c r="R403" s="701">
        <f t="shared" si="198"/>
        <v>1118745.3974871696</v>
      </c>
      <c r="S403" s="281"/>
      <c r="T403" s="116"/>
      <c r="U403" s="116"/>
      <c r="V403" s="116"/>
      <c r="W403" s="116"/>
      <c r="X403" s="116"/>
      <c r="Y403" s="116"/>
    </row>
    <row r="404" spans="1:25" ht="15.75">
      <c r="A404" s="116"/>
      <c r="B404" s="31"/>
      <c r="C404" s="31"/>
      <c r="D404" s="31"/>
      <c r="E404" s="702" t="str">
        <f t="shared" ref="E404:F404" si="201">E459</f>
        <v>código 186 (No remun)</v>
      </c>
      <c r="F404" s="703">
        <f t="shared" si="201"/>
        <v>0</v>
      </c>
      <c r="G404" s="281"/>
      <c r="H404" s="702" t="str">
        <f t="shared" ref="H404:I404" si="202">H459</f>
        <v>código 186 (No remun)</v>
      </c>
      <c r="I404" s="703">
        <f t="shared" si="202"/>
        <v>0</v>
      </c>
      <c r="J404" s="281"/>
      <c r="K404" s="702" t="str">
        <f t="shared" si="196"/>
        <v>código 186 (No remun)</v>
      </c>
      <c r="L404" s="703">
        <f t="shared" si="196"/>
        <v>0</v>
      </c>
      <c r="M404" s="281"/>
      <c r="N404" s="702" t="str">
        <f t="shared" si="197"/>
        <v>código 186 (No remun)</v>
      </c>
      <c r="O404" s="703">
        <f t="shared" si="197"/>
        <v>0</v>
      </c>
      <c r="P404" s="281"/>
      <c r="Q404" s="702" t="str">
        <f t="shared" si="198"/>
        <v>código 186 (No remun)</v>
      </c>
      <c r="R404" s="703">
        <f t="shared" si="198"/>
        <v>0</v>
      </c>
      <c r="S404" s="281"/>
      <c r="T404" s="116"/>
      <c r="U404" s="116"/>
      <c r="V404" s="116"/>
      <c r="W404" s="116"/>
      <c r="X404" s="116"/>
      <c r="Y404" s="116"/>
    </row>
    <row r="405" spans="1:25" ht="15.75">
      <c r="A405" s="116"/>
      <c r="B405" s="31"/>
      <c r="C405" s="31"/>
      <c r="D405" s="31"/>
      <c r="E405" s="704" t="str">
        <f t="shared" ref="E405:F406" si="203">E460</f>
        <v>Líquido</v>
      </c>
      <c r="F405" s="705">
        <f t="shared" si="203"/>
        <v>960444.92822560831</v>
      </c>
      <c r="G405" s="281"/>
      <c r="H405" s="704" t="str">
        <f t="shared" ref="H405:I405" si="204">H460</f>
        <v>Líquido</v>
      </c>
      <c r="I405" s="705">
        <f t="shared" si="204"/>
        <v>928742.26329453848</v>
      </c>
      <c r="J405" s="281"/>
      <c r="K405" s="704" t="str">
        <f t="shared" si="196"/>
        <v>Líquido</v>
      </c>
      <c r="L405" s="705">
        <f t="shared" si="196"/>
        <v>902360.00805295014</v>
      </c>
      <c r="M405" s="281"/>
      <c r="N405" s="704" t="str">
        <f t="shared" si="197"/>
        <v>Líquido</v>
      </c>
      <c r="O405" s="705">
        <f t="shared" si="197"/>
        <v>872621.4100399923</v>
      </c>
      <c r="P405" s="281"/>
      <c r="Q405" s="704" t="str">
        <f t="shared" si="198"/>
        <v>Líquido</v>
      </c>
      <c r="R405" s="705">
        <f t="shared" si="198"/>
        <v>872621.4100399923</v>
      </c>
      <c r="S405" s="281"/>
      <c r="T405" s="116"/>
      <c r="U405" s="116"/>
      <c r="V405" s="116"/>
      <c r="W405" s="116"/>
      <c r="X405" s="116"/>
      <c r="Y405" s="116"/>
    </row>
    <row r="406" spans="1:25" ht="15.75">
      <c r="A406" s="116"/>
      <c r="B406" s="31"/>
      <c r="C406" s="31"/>
      <c r="D406" s="31"/>
      <c r="E406" s="702" t="str">
        <f t="shared" si="203"/>
        <v>Descuentos con aguinaldo</v>
      </c>
      <c r="F406" s="703"/>
      <c r="G406" s="281"/>
      <c r="H406" s="702" t="str">
        <f t="shared" ref="H406" si="205">H461</f>
        <v>Descuentos con aguinaldo</v>
      </c>
      <c r="I406" s="703"/>
      <c r="J406" s="281"/>
      <c r="K406" s="702" t="str">
        <f t="shared" si="196"/>
        <v>Descuentos con aguinaldo</v>
      </c>
      <c r="L406" s="703"/>
      <c r="M406" s="281"/>
      <c r="N406" s="702" t="str">
        <f t="shared" si="197"/>
        <v>Descuentos con aguinaldo</v>
      </c>
      <c r="O406" s="703"/>
      <c r="P406" s="281"/>
      <c r="Q406" s="702" t="str">
        <f t="shared" si="198"/>
        <v>Descuentos con aguinaldo</v>
      </c>
      <c r="R406" s="703"/>
      <c r="S406" s="281"/>
      <c r="T406" s="116"/>
      <c r="U406" s="116"/>
      <c r="V406" s="116"/>
      <c r="W406" s="116"/>
      <c r="X406" s="116"/>
      <c r="Y406" s="116"/>
    </row>
    <row r="407" spans="1:25" ht="15.75">
      <c r="A407" s="116"/>
      <c r="B407" s="31"/>
      <c r="C407" s="31"/>
      <c r="D407" s="31"/>
      <c r="E407" s="704">
        <f t="shared" ref="E407:F407" si="206">E462</f>
        <v>502</v>
      </c>
      <c r="F407" s="705">
        <f t="shared" si="206"/>
        <v>-701863.60139563691</v>
      </c>
      <c r="G407" s="281"/>
      <c r="H407" s="704">
        <f t="shared" ref="H407:I407" si="207">H462</f>
        <v>502</v>
      </c>
      <c r="I407" s="705">
        <f t="shared" si="207"/>
        <v>-678696.26933062426</v>
      </c>
      <c r="J407" s="281"/>
      <c r="K407" s="704">
        <f t="shared" si="196"/>
        <v>502</v>
      </c>
      <c r="L407" s="705">
        <f t="shared" si="196"/>
        <v>-659416.92896177131</v>
      </c>
      <c r="M407" s="281"/>
      <c r="N407" s="704">
        <f t="shared" si="197"/>
        <v>502</v>
      </c>
      <c r="O407" s="705">
        <f t="shared" si="197"/>
        <v>-637684.87656768668</v>
      </c>
      <c r="P407" s="281"/>
      <c r="Q407" s="704">
        <f t="shared" si="198"/>
        <v>502</v>
      </c>
      <c r="R407" s="705">
        <f t="shared" si="198"/>
        <v>-637684.87656768668</v>
      </c>
      <c r="S407" s="281"/>
      <c r="T407" s="116"/>
      <c r="U407" s="116"/>
      <c r="V407" s="116"/>
      <c r="W407" s="116"/>
      <c r="X407" s="116"/>
      <c r="Y407" s="116"/>
    </row>
    <row r="408" spans="1:25" ht="15.75">
      <c r="A408" s="116"/>
      <c r="B408" s="31"/>
      <c r="C408" s="31"/>
      <c r="D408" s="31"/>
      <c r="E408" s="704">
        <f t="shared" ref="E408:F408" si="208">E463</f>
        <v>505</v>
      </c>
      <c r="F408" s="705">
        <f t="shared" si="208"/>
        <v>-110820.56864141634</v>
      </c>
      <c r="G408" s="281"/>
      <c r="H408" s="704">
        <f t="shared" ref="H408:I408" si="209">H463</f>
        <v>505</v>
      </c>
      <c r="I408" s="705">
        <f t="shared" si="209"/>
        <v>-107162.56884167751</v>
      </c>
      <c r="J408" s="281"/>
      <c r="K408" s="704">
        <f t="shared" si="196"/>
        <v>505</v>
      </c>
      <c r="L408" s="705">
        <f t="shared" si="196"/>
        <v>-104118.46246764809</v>
      </c>
      <c r="M408" s="281"/>
      <c r="N408" s="704">
        <f t="shared" si="197"/>
        <v>505</v>
      </c>
      <c r="O408" s="705">
        <f t="shared" si="197"/>
        <v>-100687.08577384526</v>
      </c>
      <c r="P408" s="281"/>
      <c r="Q408" s="704">
        <f t="shared" si="198"/>
        <v>505</v>
      </c>
      <c r="R408" s="705">
        <f t="shared" si="198"/>
        <v>-100687.08577384526</v>
      </c>
      <c r="S408" s="281"/>
      <c r="T408" s="116"/>
      <c r="U408" s="116"/>
      <c r="V408" s="116"/>
      <c r="W408" s="116"/>
      <c r="X408" s="116"/>
      <c r="Y408" s="116"/>
    </row>
    <row r="409" spans="1:25" ht="15.75">
      <c r="A409" s="116"/>
      <c r="B409" s="31"/>
      <c r="C409" s="31"/>
      <c r="D409" s="31"/>
      <c r="E409" s="702"/>
      <c r="F409" s="703"/>
      <c r="G409" s="281"/>
      <c r="H409" s="702"/>
      <c r="I409" s="703"/>
      <c r="J409" s="281"/>
      <c r="K409" s="702"/>
      <c r="L409" s="703"/>
      <c r="M409" s="281"/>
      <c r="N409" s="702"/>
      <c r="O409" s="703"/>
      <c r="P409" s="281"/>
      <c r="Q409" s="702"/>
      <c r="R409" s="703"/>
      <c r="S409" s="281"/>
      <c r="T409" s="116"/>
      <c r="U409" s="116"/>
      <c r="V409" s="116"/>
      <c r="W409" s="116"/>
      <c r="X409" s="116"/>
      <c r="Y409" s="116"/>
    </row>
    <row r="410" spans="1:25" ht="15.75">
      <c r="A410" s="116"/>
      <c r="B410" s="31"/>
      <c r="C410" s="31"/>
      <c r="D410" s="31"/>
      <c r="E410" s="704" t="str">
        <f>E465</f>
        <v>Sueldo líquido incluyendo aguinaldo</v>
      </c>
      <c r="F410" s="705"/>
      <c r="G410" s="281"/>
      <c r="H410" s="704" t="str">
        <f>H465</f>
        <v>Sueldo líquido incluyendo aguinaldo</v>
      </c>
      <c r="I410" s="705"/>
      <c r="J410" s="281"/>
      <c r="K410" s="704" t="str">
        <f>K465</f>
        <v>Sueldo líquido incluyendo aguinaldo</v>
      </c>
      <c r="L410" s="705"/>
      <c r="M410" s="281"/>
      <c r="N410" s="704" t="str">
        <f>N465</f>
        <v>Sueldo líquido incluyendo aguinaldo</v>
      </c>
      <c r="O410" s="705"/>
      <c r="P410" s="281"/>
      <c r="Q410" s="704" t="str">
        <f>Q465</f>
        <v>Sueldo líquido incluyendo aguinaldo</v>
      </c>
      <c r="R410" s="705"/>
      <c r="S410" s="281"/>
      <c r="T410" s="116"/>
      <c r="U410" s="116"/>
      <c r="V410" s="116"/>
      <c r="W410" s="116"/>
      <c r="X410" s="116"/>
      <c r="Y410" s="116"/>
    </row>
    <row r="411" spans="1:25" ht="15.75">
      <c r="A411" s="116"/>
      <c r="B411" s="31"/>
      <c r="C411" s="31"/>
      <c r="D411" s="31"/>
      <c r="E411" s="702"/>
      <c r="F411" s="706">
        <f t="shared" ref="F411" si="210">F466</f>
        <v>3149770.7846768252</v>
      </c>
      <c r="G411" s="281"/>
      <c r="H411" s="702"/>
      <c r="I411" s="706">
        <f t="shared" ref="I411" si="211">I466</f>
        <v>3024662.789883615</v>
      </c>
      <c r="J411" s="281"/>
      <c r="K411" s="702"/>
      <c r="L411" s="706">
        <f t="shared" ref="L411" si="212">L466</f>
        <v>2895492.0241588503</v>
      </c>
      <c r="M411" s="281"/>
      <c r="N411" s="702"/>
      <c r="O411" s="706">
        <f t="shared" ref="O411" si="213">O466</f>
        <v>2806276.2301199771</v>
      </c>
      <c r="P411" s="281"/>
      <c r="Q411" s="702"/>
      <c r="R411" s="706">
        <f t="shared" ref="R411" si="214">R466</f>
        <v>2746276.2301199771</v>
      </c>
      <c r="S411" s="281"/>
      <c r="T411" s="116"/>
      <c r="U411" s="116"/>
      <c r="V411" s="116"/>
      <c r="W411" s="116"/>
      <c r="X411" s="116"/>
      <c r="Y411" s="116"/>
    </row>
    <row r="412" spans="1:25" ht="15.75">
      <c r="A412" s="116"/>
      <c r="B412" s="31"/>
      <c r="C412" s="31"/>
      <c r="D412" s="31"/>
      <c r="E412" s="707" t="str">
        <f>E467</f>
        <v>Aguinaldo de bolsillo</v>
      </c>
      <c r="F412" s="708"/>
      <c r="G412" s="709"/>
      <c r="H412" s="707" t="str">
        <f>H467</f>
        <v>Aguinaldo de bolsillo</v>
      </c>
      <c r="I412" s="708"/>
      <c r="J412" s="709"/>
      <c r="K412" s="707" t="str">
        <f>K467</f>
        <v>Aguinaldo de bolsillo</v>
      </c>
      <c r="L412" s="708"/>
      <c r="M412" s="709"/>
      <c r="N412" s="707" t="str">
        <f>N467</f>
        <v>Aguinaldo de bolsillo</v>
      </c>
      <c r="O412" s="708"/>
      <c r="P412" s="709"/>
      <c r="Q412" s="707" t="str">
        <f>Q467</f>
        <v>Aguinaldo de bolsillo</v>
      </c>
      <c r="R412" s="708"/>
      <c r="S412" s="709"/>
      <c r="T412" s="116"/>
      <c r="U412" s="116"/>
      <c r="V412" s="116"/>
      <c r="W412" s="116"/>
      <c r="X412" s="116"/>
      <c r="Y412" s="116"/>
    </row>
    <row r="413" spans="1:25" ht="16.5" thickBot="1">
      <c r="A413" s="116"/>
      <c r="B413" s="31"/>
      <c r="C413" s="31"/>
      <c r="D413" s="31"/>
      <c r="E413" s="710"/>
      <c r="F413" s="711">
        <f>F468</f>
        <v>960444.92822560854</v>
      </c>
      <c r="G413" s="281"/>
      <c r="H413" s="710"/>
      <c r="I413" s="711">
        <f>I468</f>
        <v>928742.26329453802</v>
      </c>
      <c r="J413" s="281"/>
      <c r="K413" s="710"/>
      <c r="L413" s="711">
        <f>L468</f>
        <v>902360.00805295003</v>
      </c>
      <c r="M413" s="281"/>
      <c r="N413" s="710"/>
      <c r="O413" s="711">
        <f>O468</f>
        <v>872621.41003999254</v>
      </c>
      <c r="P413" s="281"/>
      <c r="Q413" s="710"/>
      <c r="R413" s="711">
        <f>R468</f>
        <v>872621.41003999254</v>
      </c>
      <c r="S413" s="281"/>
      <c r="T413" s="116"/>
      <c r="U413" s="116"/>
      <c r="V413" s="116"/>
      <c r="W413" s="116"/>
      <c r="X413" s="116"/>
      <c r="Y413" s="116"/>
    </row>
    <row r="414" spans="1:25" ht="18.75" thickTop="1">
      <c r="A414" s="116"/>
      <c r="B414" s="31"/>
      <c r="C414" s="31"/>
      <c r="D414" s="31"/>
      <c r="E414" s="712"/>
      <c r="F414" s="712"/>
      <c r="G414" s="281"/>
      <c r="H414" s="712"/>
      <c r="I414" s="712"/>
      <c r="J414" s="281"/>
      <c r="K414" s="712"/>
      <c r="L414" s="712"/>
      <c r="M414" s="281"/>
      <c r="N414" s="712"/>
      <c r="O414" s="712"/>
      <c r="P414" s="281"/>
      <c r="Q414" s="22"/>
      <c r="R414" s="712"/>
      <c r="S414" s="281"/>
      <c r="T414" s="116"/>
      <c r="U414" s="116"/>
      <c r="V414" s="116"/>
      <c r="W414" s="116"/>
      <c r="X414" s="116"/>
      <c r="Y414" s="116"/>
    </row>
    <row r="415" spans="1:25" ht="20.25" hidden="1">
      <c r="A415" s="116"/>
      <c r="B415" s="116"/>
      <c r="C415" s="525"/>
      <c r="D415" s="713"/>
      <c r="E415" s="866">
        <v>46266</v>
      </c>
      <c r="F415" s="867">
        <f>Aumentoseptiembre26</f>
        <v>0.10336174999999992</v>
      </c>
      <c r="G415" s="868"/>
      <c r="H415" s="807">
        <v>46204</v>
      </c>
      <c r="I415" s="808">
        <f>Aumentojulio26</f>
        <v>6.6049999999999942E-2</v>
      </c>
      <c r="J415" s="809"/>
      <c r="K415" s="807">
        <v>46143</v>
      </c>
      <c r="L415" s="808">
        <v>3.5000000000000003E-2</v>
      </c>
      <c r="M415" s="809"/>
      <c r="N415" s="807">
        <v>46054</v>
      </c>
      <c r="O415" s="808">
        <v>0</v>
      </c>
      <c r="P415" s="809"/>
      <c r="Q415" s="807">
        <v>45992</v>
      </c>
      <c r="R415" s="714"/>
      <c r="S415" s="21"/>
      <c r="T415" s="116"/>
      <c r="U415" s="116"/>
      <c r="V415" s="116"/>
      <c r="W415" s="116"/>
      <c r="X415" s="116"/>
      <c r="Y415" s="116"/>
    </row>
    <row r="416" spans="1:25" ht="16.5" hidden="1" thickBot="1">
      <c r="A416" s="116"/>
      <c r="B416" s="630"/>
      <c r="C416" s="631"/>
      <c r="D416" s="632"/>
      <c r="E416" s="715"/>
      <c r="F416" s="715"/>
      <c r="G416" s="632"/>
      <c r="H416" s="715"/>
      <c r="I416" s="715"/>
      <c r="J416" s="632"/>
      <c r="K416" s="715"/>
      <c r="L416" s="715"/>
      <c r="M416" s="632"/>
      <c r="N416" s="715"/>
      <c r="O416" s="715"/>
      <c r="P416" s="632"/>
      <c r="Q416" s="715"/>
      <c r="R416" s="715"/>
      <c r="S416" s="632"/>
      <c r="T416" s="116"/>
      <c r="U416" s="116"/>
      <c r="V416" s="116"/>
      <c r="W416" s="116"/>
      <c r="X416" s="116"/>
      <c r="Y416" s="116"/>
    </row>
    <row r="417" spans="1:25" ht="15.75" hidden="1" thickBot="1">
      <c r="A417" s="31"/>
      <c r="B417" s="716" t="s">
        <v>463</v>
      </c>
      <c r="C417" s="716" t="s">
        <v>464</v>
      </c>
      <c r="D417" s="716" t="s">
        <v>465</v>
      </c>
      <c r="E417" s="717" t="s">
        <v>466</v>
      </c>
      <c r="F417" s="717" t="s">
        <v>467</v>
      </c>
      <c r="G417" s="718"/>
      <c r="H417" s="717" t="s">
        <v>466</v>
      </c>
      <c r="I417" s="717" t="s">
        <v>467</v>
      </c>
      <c r="J417" s="718"/>
      <c r="K417" s="717" t="s">
        <v>466</v>
      </c>
      <c r="L417" s="717" t="s">
        <v>467</v>
      </c>
      <c r="M417" s="718"/>
      <c r="N417" s="717" t="s">
        <v>466</v>
      </c>
      <c r="O417" s="717" t="s">
        <v>467</v>
      </c>
      <c r="P417" s="718"/>
      <c r="Q417" s="717" t="s">
        <v>466</v>
      </c>
      <c r="R417" s="717" t="s">
        <v>467</v>
      </c>
      <c r="S417" s="718"/>
      <c r="T417" s="31"/>
      <c r="U417" s="31"/>
      <c r="V417" s="31"/>
      <c r="W417" s="31"/>
      <c r="X417" s="31"/>
      <c r="Y417" s="31"/>
    </row>
    <row r="418" spans="1:25" ht="15.75" hidden="1" thickBot="1">
      <c r="A418" s="31"/>
      <c r="B418" s="719">
        <v>4</v>
      </c>
      <c r="C418" s="720">
        <f>canthorsup</f>
        <v>36</v>
      </c>
      <c r="D418" s="564" t="s">
        <v>525</v>
      </c>
      <c r="E418" s="721">
        <f>indicesep26*punbashorsup</f>
        <v>911359.87014441588</v>
      </c>
      <c r="F418" s="722"/>
      <c r="G418" s="723"/>
      <c r="H418" s="721">
        <f>indicejul26*punbashorsup</f>
        <v>880540.93733759993</v>
      </c>
      <c r="I418" s="722"/>
      <c r="J418" s="723"/>
      <c r="K418" s="721">
        <f>indicemay26*punbashorsup</f>
        <v>854894.11392000003</v>
      </c>
      <c r="L418" s="722"/>
      <c r="M418" s="723"/>
      <c r="N418" s="721">
        <f>indicedic25*punbashorsup</f>
        <v>825984.49204517377</v>
      </c>
      <c r="O418" s="722"/>
      <c r="P418" s="723"/>
      <c r="Q418" s="721">
        <f>indicedic25*punbashorsup</f>
        <v>825984.49204517377</v>
      </c>
      <c r="R418" s="722"/>
      <c r="S418" s="723"/>
      <c r="T418" s="31"/>
      <c r="U418" s="31"/>
      <c r="V418" s="31"/>
      <c r="W418" s="31"/>
      <c r="X418" s="31"/>
      <c r="Y418" s="31"/>
    </row>
    <row r="419" spans="1:25" ht="15.75" hidden="1" thickBot="1">
      <c r="A419" s="31"/>
      <c r="B419" s="724">
        <v>10</v>
      </c>
      <c r="C419" s="725">
        <f>porantighorsup</f>
        <v>1.2</v>
      </c>
      <c r="D419" s="563" t="s">
        <v>475</v>
      </c>
      <c r="E419" s="726">
        <f>(E418+E426)*porantighorsup</f>
        <v>1123631.8441732989</v>
      </c>
      <c r="F419" s="477"/>
      <c r="G419" s="727"/>
      <c r="H419" s="726">
        <f>(H418+H426)*porantighorsup</f>
        <v>1086649.1248051198</v>
      </c>
      <c r="I419" s="477"/>
      <c r="J419" s="727"/>
      <c r="K419" s="726">
        <f>(K418+K426)*porantighorsup</f>
        <v>1055872.936704</v>
      </c>
      <c r="L419" s="477"/>
      <c r="M419" s="727"/>
      <c r="N419" s="726">
        <f>(N418+N426)*porantighorsup</f>
        <v>1021181.3904542085</v>
      </c>
      <c r="O419" s="477"/>
      <c r="P419" s="727"/>
      <c r="Q419" s="726">
        <f>(Q418+Q426)*porantighorsup</f>
        <v>1021181.3904542085</v>
      </c>
      <c r="R419" s="477"/>
      <c r="S419" s="727"/>
      <c r="T419" s="31"/>
      <c r="U419" s="31"/>
      <c r="V419" s="31"/>
      <c r="W419" s="31"/>
      <c r="X419" s="31"/>
      <c r="Y419" s="31"/>
    </row>
    <row r="420" spans="1:25" ht="16.5" hidden="1" thickBot="1">
      <c r="A420" s="31"/>
      <c r="B420" s="719">
        <v>6</v>
      </c>
      <c r="C420" s="728">
        <f>IF(porantighorsup&lt;100%,N420/4241.88,N420/4271.53)</f>
        <v>17</v>
      </c>
      <c r="D420" s="564" t="s">
        <v>474</v>
      </c>
      <c r="E420" s="721">
        <f>IF(porantighorsup&lt;100%,IF(canthor06sup&gt;17,17*4241.88,4241.88*canthor06sup),IF(canthor06sup&gt;17,17*4271.53,4271.53*canthor06sup))*(1+Aumentoseptiembre26)</f>
        <v>80121.727871617491</v>
      </c>
      <c r="F420" s="477"/>
      <c r="G420" s="723"/>
      <c r="H420" s="721">
        <f>IF(porantighorsup&lt;100%,IF(canthor06sup&gt;17,17*4241.88,4241.88*canthor06sup),IF(canthor06sup&gt;17,17*4271.53,4271.53*canthor06sup))*(1+Aumentojulio26)</f>
        <v>77412.297460499991</v>
      </c>
      <c r="I420" s="477"/>
      <c r="J420" s="723"/>
      <c r="K420" s="721">
        <f>IF(porantighorsup&lt;100%,IF(canthor06sup&gt;17,17*4241.88,4241.88*canthor06sup),IF(canthor06sup&gt;17,17*4271.53,4271.53*canthor06sup))*(1+Aumentomayo26)</f>
        <v>75157.570349999995</v>
      </c>
      <c r="L420" s="477"/>
      <c r="M420" s="723"/>
      <c r="N420" s="721">
        <f>IF(porantighorsup&lt;100%,IF(canthor06sup&gt;17,17*4241.88,4241.88*canthor06sup),IF(canthor06sup&gt;17,17*4271.53,4271.53*canthor06sup))</f>
        <v>72616.009999999995</v>
      </c>
      <c r="O420" s="477"/>
      <c r="P420" s="723"/>
      <c r="Q420" s="721">
        <f>IF(porantighorsup&lt;100%,IF(canthor06sup&gt;17,17*4241.88,4241.88*canthor06sup),IF(canthor06sup&gt;17,17*4271.53,4271.53*canthor06sup))</f>
        <v>72616.009999999995</v>
      </c>
      <c r="R420" s="477"/>
      <c r="S420" s="723"/>
      <c r="T420" s="31"/>
      <c r="U420" s="31"/>
      <c r="V420" s="31"/>
      <c r="W420" s="31"/>
      <c r="X420" s="31"/>
      <c r="Y420" s="31"/>
    </row>
    <row r="421" spans="1:25" ht="15.75" hidden="1" thickBot="1">
      <c r="A421" s="31"/>
      <c r="B421" s="724">
        <v>14</v>
      </c>
      <c r="C421" s="729">
        <v>7.0000000000000007E-2</v>
      </c>
      <c r="D421" s="563" t="s">
        <v>526</v>
      </c>
      <c r="E421" s="726">
        <f>E420*0.07</f>
        <v>5608.5209510132254</v>
      </c>
      <c r="F421" s="730">
        <f>23858*2</f>
        <v>47716</v>
      </c>
      <c r="G421" s="727"/>
      <c r="H421" s="726">
        <f>H420*0.07</f>
        <v>5418.8608222349994</v>
      </c>
      <c r="I421" s="730"/>
      <c r="J421" s="727"/>
      <c r="K421" s="726">
        <f>K420*0.07</f>
        <v>5261.0299245000006</v>
      </c>
      <c r="L421" s="730"/>
      <c r="M421" s="727"/>
      <c r="N421" s="726">
        <f>N420*0.07</f>
        <v>5083.1207000000004</v>
      </c>
      <c r="O421" s="730"/>
      <c r="P421" s="727"/>
      <c r="Q421" s="726">
        <f>Q420*0.07</f>
        <v>5083.1207000000004</v>
      </c>
      <c r="R421" s="730"/>
      <c r="S421" s="727"/>
      <c r="T421" s="31"/>
      <c r="U421" s="31"/>
      <c r="V421" s="31"/>
      <c r="W421" s="31"/>
      <c r="X421" s="31"/>
      <c r="Y421" s="31"/>
    </row>
    <row r="422" spans="1:25" ht="15.75" hidden="1" thickBot="1">
      <c r="A422" s="31"/>
      <c r="B422" s="724">
        <v>188</v>
      </c>
      <c r="C422" s="729">
        <v>7.0000000000000007E-2</v>
      </c>
      <c r="D422" s="563" t="s">
        <v>477</v>
      </c>
      <c r="E422" s="726">
        <f>(E418+E419+E423+E425+E426)*0.07</f>
        <v>155501.34000224006</v>
      </c>
      <c r="F422" s="731"/>
      <c r="G422" s="727"/>
      <c r="H422" s="726">
        <f>(H418+H419+H423+H425+H426)*0.07</f>
        <v>150373.03572849039</v>
      </c>
      <c r="I422" s="731"/>
      <c r="J422" s="727"/>
      <c r="K422" s="726">
        <f>(K418+K419+K423+K425+K426)*0.07</f>
        <v>146105.37449368002</v>
      </c>
      <c r="L422" s="731"/>
      <c r="M422" s="727"/>
      <c r="N422" s="726">
        <f>(N418+N419+N423+N425+N426)*0.07</f>
        <v>141294.78177495679</v>
      </c>
      <c r="O422" s="731"/>
      <c r="P422" s="727"/>
      <c r="Q422" s="726">
        <f>(Q418+Q419+Q423+Q425+Q426)*0.07</f>
        <v>141294.78177495679</v>
      </c>
      <c r="R422" s="731"/>
      <c r="S422" s="727"/>
      <c r="T422" s="31"/>
      <c r="U422" s="31"/>
      <c r="V422" s="31"/>
      <c r="W422" s="31"/>
      <c r="X422" s="31"/>
      <c r="Y422" s="31"/>
    </row>
    <row r="423" spans="1:25" ht="16.5" hidden="1" thickBot="1">
      <c r="A423" s="31"/>
      <c r="B423" s="719">
        <v>117</v>
      </c>
      <c r="C423" s="732"/>
      <c r="D423" s="564" t="s">
        <v>482</v>
      </c>
      <c r="E423" s="721">
        <f>IF(canthorsup*1590.53&gt;47716,47716,canthorsup*1590.53)</f>
        <v>47716</v>
      </c>
      <c r="F423" s="477"/>
      <c r="G423" s="723"/>
      <c r="H423" s="721">
        <f>IF(canthorsup*1441.5333&gt;43246,43246,canthorsup*1441.5333)*(1+Aumentojulio26)</f>
        <v>46102.398300000001</v>
      </c>
      <c r="I423" s="477"/>
      <c r="J423" s="723"/>
      <c r="K423" s="721">
        <f>IF(canthorsup*1441.5333&gt;43246,43246,canthorsup*1441.5333)*(1+Aumentomayo26)</f>
        <v>44759.609999999993</v>
      </c>
      <c r="L423" s="477"/>
      <c r="M423" s="723"/>
      <c r="N423" s="721">
        <f>IF(canthorsup*1441.5333&gt;43246,43246,canthorsup*1441.5333)</f>
        <v>43246</v>
      </c>
      <c r="O423" s="477"/>
      <c r="P423" s="723"/>
      <c r="Q423" s="721">
        <f>IF(canthorsup*1441.5333&gt;43246,43246,canthorsup*1441.5333)</f>
        <v>43246</v>
      </c>
      <c r="R423" s="477"/>
      <c r="S423" s="723"/>
      <c r="T423" s="31"/>
      <c r="U423" s="31"/>
      <c r="V423" s="31"/>
      <c r="W423" s="31"/>
      <c r="X423" s="31"/>
      <c r="Y423" s="31"/>
    </row>
    <row r="424" spans="1:25" ht="15.75" hidden="1" thickBot="1">
      <c r="A424" s="31"/>
      <c r="B424" s="719">
        <v>29</v>
      </c>
      <c r="C424" s="733">
        <f>cantkmhs</f>
        <v>0</v>
      </c>
      <c r="D424" s="564" t="s">
        <v>484</v>
      </c>
      <c r="E424" s="721">
        <f>kmsemhssup*2128/15*4</f>
        <v>0</v>
      </c>
      <c r="F424" s="734"/>
      <c r="G424" s="723"/>
      <c r="H424" s="721">
        <f>kmsemhssup*2128/15*4</f>
        <v>0</v>
      </c>
      <c r="I424" s="734">
        <f>81121/15</f>
        <v>5408.0666666666666</v>
      </c>
      <c r="J424" s="723"/>
      <c r="K424" s="721">
        <f>kmsemhssup*2128/15*4</f>
        <v>0</v>
      </c>
      <c r="L424" s="734">
        <f>81121/15</f>
        <v>5408.0666666666666</v>
      </c>
      <c r="M424" s="723"/>
      <c r="N424" s="721">
        <f>kmsemhssup*1820/15*4</f>
        <v>0</v>
      </c>
      <c r="O424" s="734">
        <f>81121/15</f>
        <v>5408.0666666666666</v>
      </c>
      <c r="P424" s="723"/>
      <c r="Q424" s="721">
        <f>kmsemhssup*1820/15*4</f>
        <v>0</v>
      </c>
      <c r="R424" s="734">
        <f>81121/15</f>
        <v>5408.0666666666666</v>
      </c>
      <c r="S424" s="723"/>
      <c r="T424" s="31"/>
      <c r="U424" s="31"/>
      <c r="V424" s="31"/>
      <c r="W424" s="31"/>
      <c r="X424" s="31"/>
      <c r="Y424" s="31"/>
    </row>
    <row r="425" spans="1:25" ht="16.5" hidden="1" thickBot="1">
      <c r="A425" s="31"/>
      <c r="B425" s="735">
        <v>38</v>
      </c>
      <c r="C425" s="736">
        <f>C369</f>
        <v>15</v>
      </c>
      <c r="D425" s="737" t="s">
        <v>529</v>
      </c>
      <c r="E425" s="738">
        <f>IF($C425="",IF(canthorsup&lt;15,7582.6666*canthorsup,113740),IF($C425&lt;15,7582.6666*$C425,113740))</f>
        <v>113740</v>
      </c>
      <c r="F425" s="901"/>
      <c r="G425" s="740"/>
      <c r="H425" s="738">
        <f>IF($C425="",IF(canthorsup&lt;15,6872.3333*canthorsup,103085),IF($C425&lt;15,6872.3333*$C425,103085))*(1+Aumentojulio26)</f>
        <v>109893.76424999999</v>
      </c>
      <c r="I425" s="739"/>
      <c r="J425" s="740"/>
      <c r="K425" s="738">
        <f>IF($C425="",IF(canthorsup&lt;15,6872.3333*canthorsup,103085),IF($C425&lt;15,6872.3333*$C425,103085))*(1+Aumentomayo26)</f>
        <v>106692.97499999999</v>
      </c>
      <c r="L425" s="739"/>
      <c r="M425" s="740"/>
      <c r="N425" s="738">
        <f>IF($C425="",IF(canthorsup&lt;15,6872.3333*canthorsup,103085),IF($C425&lt;15,6872.3333*$C425,103085))</f>
        <v>103085</v>
      </c>
      <c r="O425" s="739"/>
      <c r="P425" s="740"/>
      <c r="Q425" s="738">
        <f>IF($C425="",IF(canthorsup&lt;15,6872.3333*canthorsup,103085),IF($C425&lt;15,6872.3333*$C425,103085))</f>
        <v>103085</v>
      </c>
      <c r="R425" s="739"/>
      <c r="S425" s="740"/>
      <c r="T425" s="31"/>
      <c r="U425" s="31"/>
      <c r="V425" s="31"/>
      <c r="W425" s="31"/>
      <c r="X425" s="31"/>
      <c r="Y425" s="31"/>
    </row>
    <row r="426" spans="1:25" ht="15.75" hidden="1" thickBot="1">
      <c r="A426" s="31"/>
      <c r="B426" s="357">
        <v>25</v>
      </c>
      <c r="C426" s="251">
        <f>C370</f>
        <v>1</v>
      </c>
      <c r="D426" s="358" t="s">
        <v>483</v>
      </c>
      <c r="E426" s="741">
        <f>IF(AND(porantighorsup&gt;=0.5,$C426=1),IF(canthorsup&gt;15,25000,1666.6666*canthorsup),0)</f>
        <v>25000</v>
      </c>
      <c r="F426" s="742"/>
      <c r="G426" s="740"/>
      <c r="H426" s="741">
        <f>IF(AND(porantighorsup&gt;=0.5,$C426=1),IF(canthorsup&gt;15,25000,1666.6666*canthorsup),0)</f>
        <v>25000</v>
      </c>
      <c r="I426" s="742"/>
      <c r="J426" s="740"/>
      <c r="K426" s="741">
        <f>IF(AND(porantighorsup&gt;=0.5,$C426=1),IF(canthorsup&gt;15,25000,1666.6666*canthorsup),0)</f>
        <v>25000</v>
      </c>
      <c r="L426" s="742"/>
      <c r="M426" s="740"/>
      <c r="N426" s="741">
        <f>IF(AND(porantighorsup&gt;=0.5,$C426=1),IF(canthorsup&gt;15,25000,1666.6666*canthorsup),0)</f>
        <v>25000</v>
      </c>
      <c r="O426" s="742"/>
      <c r="P426" s="740"/>
      <c r="Q426" s="741">
        <f>IF(AND(porantighorsup&gt;=0.5,$C426=1),IF(canthorsup&gt;15,25000,1666.6666*canthorsup),0)</f>
        <v>25000</v>
      </c>
      <c r="R426" s="742"/>
      <c r="S426" s="740"/>
      <c r="T426" s="31"/>
      <c r="U426" s="31"/>
      <c r="V426" s="31"/>
      <c r="W426" s="31"/>
      <c r="X426" s="31"/>
      <c r="Y426" s="31"/>
    </row>
    <row r="427" spans="1:25" ht="15.75" hidden="1" thickBot="1">
      <c r="A427" s="31"/>
      <c r="B427" s="912">
        <v>32</v>
      </c>
      <c r="C427" s="917"/>
      <c r="D427" s="918" t="s">
        <v>571</v>
      </c>
      <c r="E427" s="919">
        <f>E426*porantighorsup</f>
        <v>30000</v>
      </c>
      <c r="F427" s="742"/>
      <c r="G427" s="740"/>
      <c r="H427" s="916"/>
      <c r="I427" s="742"/>
      <c r="J427" s="740"/>
      <c r="K427" s="916"/>
      <c r="L427" s="742"/>
      <c r="M427" s="740"/>
      <c r="N427" s="916"/>
      <c r="O427" s="742"/>
      <c r="P427" s="740"/>
      <c r="Q427" s="916"/>
      <c r="R427" s="742"/>
      <c r="S427" s="740"/>
      <c r="T427" s="31"/>
      <c r="U427" s="31"/>
      <c r="V427" s="31"/>
      <c r="W427" s="31"/>
      <c r="X427" s="31"/>
      <c r="Y427" s="31"/>
    </row>
    <row r="428" spans="1:25" ht="16.5" hidden="1" thickBot="1">
      <c r="A428" s="31"/>
      <c r="B428" s="735"/>
      <c r="C428" s="743"/>
      <c r="D428" s="744" t="s">
        <v>537</v>
      </c>
      <c r="E428" s="745">
        <f>SUM(E418:E427)</f>
        <v>2492679.3031425853</v>
      </c>
      <c r="F428" s="746"/>
      <c r="G428" s="747"/>
      <c r="H428" s="745">
        <f>SUM(H418:H426)</f>
        <v>2381390.4187039449</v>
      </c>
      <c r="I428" s="746"/>
      <c r="J428" s="747"/>
      <c r="K428" s="745">
        <f>SUM(K418:K426)</f>
        <v>2313743.6103921798</v>
      </c>
      <c r="L428" s="746"/>
      <c r="M428" s="747"/>
      <c r="N428" s="745">
        <f>SUM(N418:N426)</f>
        <v>2237490.7949743392</v>
      </c>
      <c r="O428" s="746"/>
      <c r="P428" s="747"/>
      <c r="Q428" s="745">
        <f>SUM(Q418:Q426)</f>
        <v>2237490.7949743392</v>
      </c>
      <c r="R428" s="746"/>
      <c r="S428" s="747"/>
      <c r="T428" s="31"/>
      <c r="U428" s="31"/>
      <c r="V428" s="31"/>
      <c r="W428" s="31"/>
      <c r="X428" s="31"/>
      <c r="Y428" s="31"/>
    </row>
    <row r="429" spans="1:25" ht="16.5" hidden="1" thickBot="1">
      <c r="A429" s="31"/>
      <c r="B429" s="748" t="s">
        <v>531</v>
      </c>
      <c r="C429" s="563"/>
      <c r="D429" s="563"/>
      <c r="E429" s="749">
        <f>E373</f>
        <v>0</v>
      </c>
      <c r="F429" s="730"/>
      <c r="G429" s="727"/>
      <c r="H429" s="749">
        <f>H373</f>
        <v>0</v>
      </c>
      <c r="I429" s="730"/>
      <c r="J429" s="727"/>
      <c r="K429" s="749">
        <f>K373</f>
        <v>0</v>
      </c>
      <c r="L429" s="730"/>
      <c r="M429" s="727"/>
      <c r="N429" s="749">
        <f>N373</f>
        <v>0</v>
      </c>
      <c r="O429" s="730"/>
      <c r="P429" s="727"/>
      <c r="Q429" s="749">
        <f>Q373</f>
        <v>0</v>
      </c>
      <c r="R429" s="730"/>
      <c r="S429" s="727"/>
      <c r="T429" s="31"/>
      <c r="U429" s="31"/>
      <c r="V429" s="31"/>
      <c r="W429" s="31"/>
      <c r="X429" s="31"/>
      <c r="Y429" s="31"/>
    </row>
    <row r="430" spans="1:25" ht="15.75" hidden="1" thickBot="1">
      <c r="A430" s="31"/>
      <c r="B430" s="748"/>
      <c r="C430" s="563"/>
      <c r="D430" s="564"/>
      <c r="E430" s="750"/>
      <c r="F430" s="730"/>
      <c r="G430" s="723"/>
      <c r="H430" s="750"/>
      <c r="I430" s="730"/>
      <c r="J430" s="723"/>
      <c r="K430" s="750"/>
      <c r="L430" s="730"/>
      <c r="M430" s="723"/>
      <c r="N430" s="750"/>
      <c r="O430" s="730"/>
      <c r="P430" s="723"/>
      <c r="Q430" s="750"/>
      <c r="R430" s="730"/>
      <c r="S430" s="723"/>
      <c r="T430" s="31"/>
      <c r="U430" s="31"/>
      <c r="V430" s="31"/>
      <c r="W430" s="31"/>
      <c r="X430" s="31"/>
      <c r="Y430" s="31"/>
    </row>
    <row r="431" spans="1:25" ht="16.5" hidden="1" thickBot="1">
      <c r="A431" s="31"/>
      <c r="B431" s="719">
        <v>184</v>
      </c>
      <c r="C431" s="728">
        <f>K431/3062.7</f>
        <v>23.999999999999996</v>
      </c>
      <c r="D431" s="564" t="s">
        <v>488</v>
      </c>
      <c r="E431" s="721">
        <f>IF(canthorincsup*4255.83&gt;102139,102139,canthorincsup*4255.83)+IF(canthorincsup*2400&gt;36000,36000,canthorincsup*2400)</f>
        <v>138139</v>
      </c>
      <c r="F431" s="638"/>
      <c r="G431" s="723"/>
      <c r="H431" s="721">
        <f>IF(canthorincsup*4255.83&gt;102139,102139,canthorincsup*4255.83)+IF(canthorincsup*2400&gt;36000,36000,canthorincsup*2400)</f>
        <v>138139</v>
      </c>
      <c r="I431" s="638"/>
      <c r="J431" s="723"/>
      <c r="K431" s="721">
        <f>IF(canthorincsup*3062.7&gt;73504.8,73504.8,canthorincsup*3062.7)</f>
        <v>73504.799999999988</v>
      </c>
      <c r="L431" s="638"/>
      <c r="M431" s="723"/>
      <c r="N431" s="721">
        <f>IF(canthorincsup*3062.7&gt;73504.8,73504.8,canthorincsup*3062.7)</f>
        <v>73504.799999999988</v>
      </c>
      <c r="O431" s="638"/>
      <c r="P431" s="723"/>
      <c r="Q431" s="721">
        <f>IF(canthorincsup*3062.7&gt;73504.8,73504.8,canthorincsup*3062.7)</f>
        <v>73504.799999999988</v>
      </c>
      <c r="R431" s="638"/>
      <c r="S431" s="723"/>
      <c r="T431" s="31"/>
      <c r="U431" s="31"/>
      <c r="V431" s="31"/>
      <c r="W431" s="31"/>
      <c r="X431" s="31"/>
      <c r="Y431" s="31"/>
    </row>
    <row r="432" spans="1:25" ht="16.5" hidden="1" thickBot="1">
      <c r="A432" s="31"/>
      <c r="B432" s="724">
        <v>204</v>
      </c>
      <c r="C432" s="751">
        <f>K432/2287.8</f>
        <v>24</v>
      </c>
      <c r="D432" s="564" t="s">
        <v>489</v>
      </c>
      <c r="E432" s="726">
        <f>IF(canthorincsup*3179.08&gt;76297,76297,canthorincsup*3179.08)+IF(canthorsup*1600&gt;24000,24000,canthorsup*1600)</f>
        <v>100297</v>
      </c>
      <c r="F432" s="730"/>
      <c r="G432" s="723"/>
      <c r="H432" s="726">
        <f>IF(canthorincsup*3179.08&gt;76297,76297,canthorincsup*3179.08)+IF(canthorsup*1600&gt;24000,24000,canthorsup*1600)</f>
        <v>100297</v>
      </c>
      <c r="I432" s="730"/>
      <c r="J432" s="723"/>
      <c r="K432" s="726">
        <f>IF(canthorincsup*2287.8&gt;54907.2,54907.2,canthorincsup*2287.8)</f>
        <v>54907.200000000004</v>
      </c>
      <c r="L432" s="730"/>
      <c r="M432" s="723"/>
      <c r="N432" s="726">
        <f>IF(canthorincsup*2287.8&gt;54907.2,54907.2,canthorincsup*2287.8)</f>
        <v>54907.200000000004</v>
      </c>
      <c r="O432" s="730"/>
      <c r="P432" s="723"/>
      <c r="Q432" s="726">
        <f>IF(canthorincsup*2287.8&gt;54907.2,54907.2,canthorincsup*2287.8)</f>
        <v>54907.200000000004</v>
      </c>
      <c r="R432" s="730"/>
      <c r="S432" s="723"/>
      <c r="T432" s="31"/>
      <c r="U432" s="31"/>
      <c r="V432" s="31"/>
      <c r="W432" s="31"/>
      <c r="X432" s="31"/>
      <c r="Y432" s="31"/>
    </row>
    <row r="433" spans="1:25" ht="16.5" hidden="1" thickBot="1">
      <c r="A433" s="31"/>
      <c r="B433" s="846">
        <v>234</v>
      </c>
      <c r="C433" s="751">
        <f>K433/2400</f>
        <v>15</v>
      </c>
      <c r="D433" s="847" t="s">
        <v>549</v>
      </c>
      <c r="E433" s="721"/>
      <c r="F433" s="730"/>
      <c r="G433" s="723"/>
      <c r="H433" s="721"/>
      <c r="I433" s="730"/>
      <c r="J433" s="723"/>
      <c r="K433" s="721">
        <f>IF(canthorincsup*2400&gt;36000,36000,canthorincsup*2400)</f>
        <v>36000</v>
      </c>
      <c r="L433" s="730"/>
      <c r="M433" s="723"/>
      <c r="N433" s="721">
        <f>IF(canthorincsup*2400&gt;36000,36000,canthorincsup*2400)</f>
        <v>36000</v>
      </c>
      <c r="O433" s="730"/>
      <c r="P433" s="723"/>
      <c r="Q433" s="848"/>
      <c r="R433" s="730"/>
      <c r="S433" s="723"/>
      <c r="T433" s="31"/>
      <c r="U433" s="31"/>
      <c r="V433" s="31"/>
      <c r="W433" s="31"/>
      <c r="X433" s="31"/>
      <c r="Y433" s="31"/>
    </row>
    <row r="434" spans="1:25" ht="16.5" hidden="1" thickBot="1">
      <c r="A434" s="31"/>
      <c r="B434" s="846">
        <v>244</v>
      </c>
      <c r="C434" s="751">
        <f>K434/1600</f>
        <v>15</v>
      </c>
      <c r="D434" s="752" t="s">
        <v>550</v>
      </c>
      <c r="E434" s="753"/>
      <c r="F434" s="730"/>
      <c r="G434" s="727"/>
      <c r="H434" s="753"/>
      <c r="I434" s="730"/>
      <c r="J434" s="727"/>
      <c r="K434" s="753">
        <f>IF(canthorsup*1600&gt;24000,24000,canthorsup*1600)</f>
        <v>24000</v>
      </c>
      <c r="L434" s="730"/>
      <c r="M434" s="727"/>
      <c r="N434" s="753">
        <f>IF(canthorsup*1600&gt;24000,24000,canthorsup*1600)</f>
        <v>24000</v>
      </c>
      <c r="O434" s="730"/>
      <c r="P434" s="727"/>
      <c r="Q434" s="753"/>
      <c r="R434" s="730"/>
      <c r="S434" s="727"/>
      <c r="T434" s="31"/>
      <c r="U434" s="31"/>
      <c r="V434" s="31"/>
      <c r="W434" s="31"/>
      <c r="X434" s="31"/>
      <c r="Y434" s="31"/>
    </row>
    <row r="435" spans="1:25" ht="16.5" hidden="1" thickBot="1">
      <c r="A435" s="31"/>
      <c r="B435" s="719"/>
      <c r="C435" s="754"/>
      <c r="D435" s="732" t="s">
        <v>532</v>
      </c>
      <c r="E435" s="755">
        <f>SUM(E428:E434)</f>
        <v>2731115.3031425853</v>
      </c>
      <c r="F435" s="722"/>
      <c r="G435" s="756"/>
      <c r="H435" s="755">
        <f>SUM(H428:H434)</f>
        <v>2619826.4187039449</v>
      </c>
      <c r="I435" s="722"/>
      <c r="J435" s="756"/>
      <c r="K435" s="755">
        <f>SUM(K428:K434)</f>
        <v>2502155.6103921798</v>
      </c>
      <c r="L435" s="722"/>
      <c r="M435" s="756"/>
      <c r="N435" s="755">
        <f>SUM(N428:N434)</f>
        <v>2425902.7949743392</v>
      </c>
      <c r="O435" s="722"/>
      <c r="P435" s="756"/>
      <c r="Q435" s="755">
        <f>SUM(Q428:Q434)</f>
        <v>2365902.7949743392</v>
      </c>
      <c r="R435" s="722"/>
      <c r="S435" s="756"/>
      <c r="T435" s="31"/>
      <c r="U435" s="31"/>
      <c r="V435" s="31"/>
      <c r="W435" s="31"/>
      <c r="X435" s="31"/>
      <c r="Y435" s="31"/>
    </row>
    <row r="436" spans="1:25" ht="16.5" hidden="1" thickBot="1">
      <c r="A436" s="31"/>
      <c r="B436" s="724">
        <v>440</v>
      </c>
      <c r="C436" s="757"/>
      <c r="D436" s="563" t="s">
        <v>491</v>
      </c>
      <c r="E436" s="749">
        <f>E380</f>
        <v>0</v>
      </c>
      <c r="F436" s="758">
        <f>-E436</f>
        <v>0</v>
      </c>
      <c r="G436" s="727"/>
      <c r="H436" s="749">
        <f>H380</f>
        <v>0</v>
      </c>
      <c r="I436" s="758">
        <f>-H436</f>
        <v>0</v>
      </c>
      <c r="J436" s="727"/>
      <c r="K436" s="749">
        <f>K380</f>
        <v>0</v>
      </c>
      <c r="L436" s="758">
        <f>-K436</f>
        <v>0</v>
      </c>
      <c r="M436" s="727"/>
      <c r="N436" s="749">
        <f>N380</f>
        <v>0</v>
      </c>
      <c r="O436" s="758">
        <f>-N436</f>
        <v>0</v>
      </c>
      <c r="P436" s="727"/>
      <c r="Q436" s="749">
        <f>Q380</f>
        <v>0</v>
      </c>
      <c r="R436" s="758">
        <f>-Q436</f>
        <v>0</v>
      </c>
      <c r="S436" s="727"/>
      <c r="T436" s="31"/>
      <c r="U436" s="31"/>
      <c r="V436" s="31"/>
      <c r="W436" s="31"/>
      <c r="X436" s="31"/>
      <c r="Y436" s="31"/>
    </row>
    <row r="437" spans="1:25" ht="15.75" hidden="1" thickBot="1">
      <c r="A437" s="31"/>
      <c r="B437" s="719">
        <v>502</v>
      </c>
      <c r="C437" s="759">
        <v>0.16</v>
      </c>
      <c r="D437" s="760" t="s">
        <v>533</v>
      </c>
      <c r="E437" s="721"/>
      <c r="F437" s="761">
        <f>-(E418+E419+E422+E420+E421+F436+E423+E425+E426)*0.19</f>
        <v>-467909.0675970912</v>
      </c>
      <c r="G437" s="762"/>
      <c r="H437" s="721"/>
      <c r="I437" s="761">
        <f>-(H418+H419+H422+H420+H421+I436+H423+H425+H426)*0.19</f>
        <v>-452464.17955374951</v>
      </c>
      <c r="J437" s="762"/>
      <c r="K437" s="721"/>
      <c r="L437" s="761">
        <f>-(K418+K419+K422+K420+K421+L436+K423+K425+K426)*0.19</f>
        <v>-439611.28597451415</v>
      </c>
      <c r="M437" s="762"/>
      <c r="N437" s="721"/>
      <c r="O437" s="761">
        <f>-(N418+N419+N422+N420+N421+O436+N423+N425+N426)*0.19</f>
        <v>-425123.25104512443</v>
      </c>
      <c r="P437" s="762"/>
      <c r="Q437" s="721"/>
      <c r="R437" s="761">
        <f>-(Q418+Q419+Q422+Q420+Q421+R436+Q423+Q425+Q426)*0.19</f>
        <v>-425123.25104512443</v>
      </c>
      <c r="S437" s="762"/>
      <c r="T437" s="31"/>
      <c r="U437" s="31"/>
      <c r="V437" s="31"/>
      <c r="W437" s="31"/>
      <c r="X437" s="31"/>
      <c r="Y437" s="31"/>
    </row>
    <row r="438" spans="1:25" ht="15.75" hidden="1" thickBot="1">
      <c r="A438" s="31"/>
      <c r="B438" s="719">
        <v>505</v>
      </c>
      <c r="C438" s="763">
        <v>0.03</v>
      </c>
      <c r="D438" s="760" t="s">
        <v>534</v>
      </c>
      <c r="E438" s="721"/>
      <c r="F438" s="761">
        <f>-(E418+E419+E422+E420+E421+F436+E423+E425+E426)*poros</f>
        <v>-73880.379094277552</v>
      </c>
      <c r="G438" s="762"/>
      <c r="H438" s="721"/>
      <c r="I438" s="761">
        <f>-(H418+H419+H422+H420+H421+I436+H423+H425+H426)*poros</f>
        <v>-71441.712561118344</v>
      </c>
      <c r="J438" s="762"/>
      <c r="K438" s="721"/>
      <c r="L438" s="761">
        <f>-(K418+K419+K422+K420+K421+L436+K423+K425+K426)*poros</f>
        <v>-69412.308311765388</v>
      </c>
      <c r="M438" s="762"/>
      <c r="N438" s="721"/>
      <c r="O438" s="761">
        <f>-(N418+N419+N422+N420+N421+O436+N423+N425+N426)*poros</f>
        <v>-67124.723849230169</v>
      </c>
      <c r="P438" s="762"/>
      <c r="Q438" s="721"/>
      <c r="R438" s="761">
        <f>-(Q418+Q419+Q422+Q420+Q421+R436+Q423+Q425+Q426)*poros</f>
        <v>-67124.723849230169</v>
      </c>
      <c r="S438" s="762"/>
      <c r="T438" s="31"/>
      <c r="U438" s="31"/>
      <c r="V438" s="31"/>
      <c r="W438" s="31"/>
      <c r="X438" s="31"/>
      <c r="Y438" s="31"/>
    </row>
    <row r="439" spans="1:25" ht="16.5" hidden="1" thickBot="1">
      <c r="A439" s="31"/>
      <c r="B439" s="764">
        <v>332</v>
      </c>
      <c r="C439" s="765">
        <f t="shared" ref="C439:C440" si="215">C383</f>
        <v>0</v>
      </c>
      <c r="D439" s="766" t="s">
        <v>496</v>
      </c>
      <c r="E439" s="726"/>
      <c r="F439" s="758">
        <f>-(E418+E419+E422+E420+E421+F436+E423+E426)*poragmer-E431*poragmer</f>
        <v>0</v>
      </c>
      <c r="G439" s="767"/>
      <c r="H439" s="726"/>
      <c r="I439" s="758">
        <f>-(H418+H419+H422+H420+H421+I436+H423+H426)*poragmer-H431*poragmer</f>
        <v>0</v>
      </c>
      <c r="J439" s="767"/>
      <c r="K439" s="726"/>
      <c r="L439" s="758">
        <f>-(K418+K419+K422+K420+K421+L436+K423+K426)*poragmer-K431*poragmer</f>
        <v>0</v>
      </c>
      <c r="M439" s="767"/>
      <c r="N439" s="726"/>
      <c r="O439" s="758">
        <f>-(N418+N419+N422+N420+N421+O436+N423+N426)*poragmer-N431*poragmer</f>
        <v>0</v>
      </c>
      <c r="P439" s="767"/>
      <c r="Q439" s="726"/>
      <c r="R439" s="758">
        <f>-(Q418+Q419+Q422+Q420+Q421+R436+Q423+Q426)*poragmer-Q431*poragmer</f>
        <v>0</v>
      </c>
      <c r="S439" s="767"/>
      <c r="T439" s="31"/>
      <c r="U439" s="31"/>
      <c r="V439" s="31"/>
      <c r="W439" s="31"/>
      <c r="X439" s="31"/>
      <c r="Y439" s="31"/>
    </row>
    <row r="440" spans="1:25" ht="16.5" hidden="1" thickBot="1">
      <c r="A440" s="31"/>
      <c r="B440" s="768" t="s">
        <v>497</v>
      </c>
      <c r="C440" s="765">
        <f t="shared" si="215"/>
        <v>0</v>
      </c>
      <c r="D440" s="564"/>
      <c r="E440" s="722"/>
      <c r="F440" s="761">
        <f>-(E419+E418+E422+E420+E421+F436+E423+E425+E426)*$C440</f>
        <v>0</v>
      </c>
      <c r="G440" s="723"/>
      <c r="H440" s="722"/>
      <c r="I440" s="761">
        <f>-(H419+H418+H422+H420+H421+I436+H423+H425+H426)*$C440</f>
        <v>0</v>
      </c>
      <c r="J440" s="723"/>
      <c r="K440" s="722"/>
      <c r="L440" s="761">
        <f>-(K419+K418+K422+K420+K421+L436+K423+K425+K426)*$C440</f>
        <v>0</v>
      </c>
      <c r="M440" s="723"/>
      <c r="N440" s="722"/>
      <c r="O440" s="761">
        <f>-(N419+N418+N422+N420+N421+O436+N423+N425+N426)*$C440</f>
        <v>0</v>
      </c>
      <c r="P440" s="723"/>
      <c r="Q440" s="722"/>
      <c r="R440" s="761">
        <f>-(Q419+Q418+Q422+Q420+Q421+R436+Q423+Q425+Q426)*$C440</f>
        <v>0</v>
      </c>
      <c r="S440" s="723"/>
      <c r="T440" s="31"/>
      <c r="U440" s="31"/>
      <c r="V440" s="31"/>
      <c r="W440" s="31"/>
      <c r="X440" s="31"/>
      <c r="Y440" s="31"/>
    </row>
    <row r="441" spans="1:25" ht="16.5" hidden="1" thickBot="1">
      <c r="A441" s="31"/>
      <c r="B441" s="757"/>
      <c r="C441" s="757"/>
      <c r="D441" s="769" t="s">
        <v>498</v>
      </c>
      <c r="E441" s="770"/>
      <c r="F441" s="771">
        <f>SUM(F437:F440)</f>
        <v>-541789.44669136871</v>
      </c>
      <c r="G441" s="772"/>
      <c r="H441" s="770"/>
      <c r="I441" s="771">
        <f>SUM(I437:I440)</f>
        <v>-523905.89211486786</v>
      </c>
      <c r="J441" s="772"/>
      <c r="K441" s="770"/>
      <c r="L441" s="771">
        <f>SUM(L437:L440)</f>
        <v>-509023.59428627952</v>
      </c>
      <c r="M441" s="772"/>
      <c r="N441" s="770"/>
      <c r="O441" s="771">
        <f>SUM(O437:O440)</f>
        <v>-492247.97489435459</v>
      </c>
      <c r="P441" s="772"/>
      <c r="Q441" s="770"/>
      <c r="R441" s="771">
        <f>SUM(R437:R440)</f>
        <v>-492247.97489435459</v>
      </c>
      <c r="S441" s="772"/>
      <c r="T441" s="31"/>
      <c r="U441" s="31"/>
      <c r="V441" s="31"/>
      <c r="W441" s="31"/>
      <c r="X441" s="31"/>
      <c r="Y441" s="31"/>
    </row>
    <row r="442" spans="1:25" ht="15.75" hidden="1" thickBot="1">
      <c r="A442" s="31"/>
      <c r="B442" s="564"/>
      <c r="C442" s="564"/>
      <c r="D442" s="564"/>
      <c r="E442" s="722"/>
      <c r="F442" s="722"/>
      <c r="G442" s="723"/>
      <c r="H442" s="722"/>
      <c r="I442" s="722"/>
      <c r="J442" s="723"/>
      <c r="K442" s="722"/>
      <c r="L442" s="722"/>
      <c r="M442" s="723"/>
      <c r="N442" s="722"/>
      <c r="O442" s="722"/>
      <c r="P442" s="723"/>
      <c r="Q442" s="722"/>
      <c r="R442" s="722"/>
      <c r="S442" s="723"/>
      <c r="T442" s="31"/>
      <c r="U442" s="31"/>
      <c r="V442" s="31"/>
      <c r="W442" s="31"/>
      <c r="X442" s="31"/>
      <c r="Y442" s="31"/>
    </row>
    <row r="443" spans="1:25" ht="18.75" hidden="1" thickBot="1">
      <c r="A443" s="31"/>
      <c r="B443" s="760"/>
      <c r="C443" s="564"/>
      <c r="D443" s="732"/>
      <c r="E443" s="773" t="s">
        <v>502</v>
      </c>
      <c r="F443" s="774">
        <f>E435+F441</f>
        <v>2189325.8564512166</v>
      </c>
      <c r="G443" s="756"/>
      <c r="H443" s="773" t="s">
        <v>502</v>
      </c>
      <c r="I443" s="774">
        <f>H435+I441</f>
        <v>2095920.526589077</v>
      </c>
      <c r="J443" s="756"/>
      <c r="K443" s="773" t="s">
        <v>502</v>
      </c>
      <c r="L443" s="774">
        <f>K435+L441</f>
        <v>1993132.0161059003</v>
      </c>
      <c r="M443" s="756"/>
      <c r="N443" s="773" t="s">
        <v>502</v>
      </c>
      <c r="O443" s="774">
        <f>N435+O441</f>
        <v>1933654.8200799846</v>
      </c>
      <c r="P443" s="756"/>
      <c r="Q443" s="773" t="s">
        <v>502</v>
      </c>
      <c r="R443" s="774">
        <f>Q435+R441</f>
        <v>1873654.8200799846</v>
      </c>
      <c r="S443" s="756"/>
      <c r="T443" s="31"/>
      <c r="U443" s="31"/>
      <c r="V443" s="31"/>
      <c r="W443" s="31"/>
      <c r="X443" s="31"/>
      <c r="Y443" s="31"/>
    </row>
    <row r="444" spans="1:25" ht="18.75" hidden="1" thickBot="1">
      <c r="A444" s="31"/>
      <c r="B444" s="775"/>
      <c r="C444" s="564"/>
      <c r="D444" s="732"/>
      <c r="E444" s="776"/>
      <c r="F444" s="774"/>
      <c r="G444" s="756"/>
      <c r="H444" s="776"/>
      <c r="I444" s="774"/>
      <c r="J444" s="756"/>
      <c r="K444" s="776"/>
      <c r="L444" s="774"/>
      <c r="M444" s="756"/>
      <c r="N444" s="776"/>
      <c r="O444" s="774"/>
      <c r="P444" s="756"/>
      <c r="Q444" s="776"/>
      <c r="R444" s="774"/>
      <c r="S444" s="756"/>
      <c r="T444" s="31"/>
      <c r="U444" s="31"/>
      <c r="V444" s="31"/>
      <c r="W444" s="31"/>
      <c r="X444" s="31"/>
      <c r="Y444" s="31"/>
    </row>
    <row r="445" spans="1:25" ht="18.75" hidden="1" thickBot="1">
      <c r="A445" s="31"/>
      <c r="B445" s="760"/>
      <c r="C445" s="564"/>
      <c r="D445" s="732"/>
      <c r="E445" s="777" t="s">
        <v>504</v>
      </c>
      <c r="F445" s="390">
        <f>F443-I443</f>
        <v>93405.329862139653</v>
      </c>
      <c r="G445" s="756"/>
      <c r="H445" s="777" t="s">
        <v>504</v>
      </c>
      <c r="I445" s="390">
        <f>I443-L443</f>
        <v>102788.51048317668</v>
      </c>
      <c r="J445" s="756"/>
      <c r="K445" s="777" t="s">
        <v>504</v>
      </c>
      <c r="L445" s="390">
        <f>L443-O443</f>
        <v>59477.196025915677</v>
      </c>
      <c r="M445" s="756"/>
      <c r="N445" s="777" t="s">
        <v>504</v>
      </c>
      <c r="O445" s="390">
        <f>O443-R443</f>
        <v>60000</v>
      </c>
      <c r="P445" s="756"/>
      <c r="Q445" s="777" t="s">
        <v>504</v>
      </c>
      <c r="R445" s="778"/>
      <c r="S445" s="756"/>
      <c r="T445" s="31"/>
      <c r="U445" s="31"/>
      <c r="V445" s="31"/>
      <c r="W445" s="31"/>
      <c r="X445" s="31"/>
      <c r="Y445" s="31"/>
    </row>
    <row r="446" spans="1:25" ht="18.75" hidden="1" thickBot="1">
      <c r="A446" s="31"/>
      <c r="B446" s="760"/>
      <c r="C446" s="564"/>
      <c r="D446" s="732"/>
      <c r="E446" s="777" t="s">
        <v>505</v>
      </c>
      <c r="F446" s="392">
        <f>F445/I443</f>
        <v>4.4565301344774017E-2</v>
      </c>
      <c r="G446" s="756"/>
      <c r="H446" s="777" t="s">
        <v>505</v>
      </c>
      <c r="I446" s="392">
        <f>I445/L443</f>
        <v>5.1571350845088855E-2</v>
      </c>
      <c r="J446" s="756"/>
      <c r="K446" s="777" t="s">
        <v>505</v>
      </c>
      <c r="L446" s="392">
        <f>L445/O443</f>
        <v>3.075895211920783E-2</v>
      </c>
      <c r="M446" s="756"/>
      <c r="N446" s="777" t="s">
        <v>505</v>
      </c>
      <c r="O446" s="392">
        <f>O445/R443</f>
        <v>3.2022974219679722E-2</v>
      </c>
      <c r="P446" s="756"/>
      <c r="Q446" s="777" t="s">
        <v>505</v>
      </c>
      <c r="R446" s="392"/>
      <c r="S446" s="756"/>
      <c r="T446" s="31"/>
      <c r="U446" s="31"/>
      <c r="V446" s="31"/>
      <c r="W446" s="31"/>
      <c r="X446" s="31"/>
      <c r="Y446" s="31"/>
    </row>
    <row r="447" spans="1:25" ht="18.75" hidden="1" thickBot="1">
      <c r="A447" s="31"/>
      <c r="B447" s="760"/>
      <c r="C447" s="564"/>
      <c r="D447" s="732"/>
      <c r="E447" s="779"/>
      <c r="F447" s="605"/>
      <c r="G447" s="732"/>
      <c r="H447" s="779"/>
      <c r="I447" s="605"/>
      <c r="J447" s="732"/>
      <c r="K447" s="779"/>
      <c r="L447" s="605"/>
      <c r="M447" s="732"/>
      <c r="N447" s="779"/>
      <c r="O447" s="605"/>
      <c r="P447" s="732"/>
      <c r="Q447" s="779"/>
      <c r="R447" s="605"/>
      <c r="S447" s="732"/>
      <c r="T447" s="31"/>
      <c r="U447" s="31"/>
      <c r="V447" s="31"/>
      <c r="W447" s="31"/>
      <c r="X447" s="31"/>
      <c r="Y447" s="31"/>
    </row>
    <row r="448" spans="1:25" ht="18.75" hidden="1" thickBot="1">
      <c r="A448" s="31"/>
      <c r="B448" s="780"/>
      <c r="C448" s="732"/>
      <c r="D448" s="781"/>
      <c r="E448" s="782" t="s">
        <v>452</v>
      </c>
      <c r="F448" s="401">
        <f>F443-$R443</f>
        <v>315671.03637123201</v>
      </c>
      <c r="G448" s="372"/>
      <c r="H448" s="782" t="s">
        <v>452</v>
      </c>
      <c r="I448" s="401">
        <f>I443-$R443</f>
        <v>222265.70650909236</v>
      </c>
      <c r="J448" s="372"/>
      <c r="K448" s="782" t="s">
        <v>452</v>
      </c>
      <c r="L448" s="401">
        <f>L443-$R443</f>
        <v>119477.19602591568</v>
      </c>
      <c r="M448" s="372"/>
      <c r="N448" s="782" t="s">
        <v>452</v>
      </c>
      <c r="O448" s="401">
        <f>O443-$R443</f>
        <v>60000</v>
      </c>
      <c r="P448" s="372"/>
      <c r="Q448" s="782" t="s">
        <v>452</v>
      </c>
      <c r="R448" s="783"/>
      <c r="S448" s="372"/>
      <c r="T448" s="31"/>
      <c r="U448" s="31"/>
      <c r="V448" s="31"/>
      <c r="W448" s="31"/>
      <c r="X448" s="31"/>
      <c r="Y448" s="31"/>
    </row>
    <row r="449" spans="1:25" ht="18.75" hidden="1" thickBot="1">
      <c r="A449" s="31"/>
      <c r="B449" s="780"/>
      <c r="C449" s="732"/>
      <c r="D449" s="781"/>
      <c r="E449" s="782" t="s">
        <v>507</v>
      </c>
      <c r="F449" s="402">
        <f>F448/$R443</f>
        <v>0.16847875766025905</v>
      </c>
      <c r="G449" s="372"/>
      <c r="H449" s="782" t="s">
        <v>507</v>
      </c>
      <c r="I449" s="402">
        <f>I448/$R443</f>
        <v>0.11862681649099274</v>
      </c>
      <c r="J449" s="372"/>
      <c r="K449" s="782" t="s">
        <v>507</v>
      </c>
      <c r="L449" s="402">
        <f>L448/$R443</f>
        <v>6.3766919469625316E-2</v>
      </c>
      <c r="M449" s="372"/>
      <c r="N449" s="782" t="s">
        <v>507</v>
      </c>
      <c r="O449" s="402">
        <f>O448/$R443</f>
        <v>3.2022974219679722E-2</v>
      </c>
      <c r="P449" s="372"/>
      <c r="Q449" s="782" t="s">
        <v>507</v>
      </c>
      <c r="R449" s="402"/>
      <c r="S449" s="372"/>
      <c r="T449" s="31"/>
      <c r="U449" s="31"/>
      <c r="V449" s="31"/>
      <c r="W449" s="31"/>
      <c r="X449" s="31"/>
      <c r="Y449" s="31"/>
    </row>
    <row r="450" spans="1:25" ht="16.5" hidden="1" thickBot="1">
      <c r="A450" s="31"/>
      <c r="B450" s="780"/>
      <c r="C450" s="732"/>
      <c r="D450" s="781"/>
      <c r="E450" s="564"/>
      <c r="F450" s="323"/>
      <c r="G450" s="784"/>
      <c r="H450" s="564"/>
      <c r="I450" s="323"/>
      <c r="J450" s="784"/>
      <c r="K450" s="564"/>
      <c r="L450" s="323"/>
      <c r="M450" s="784"/>
      <c r="N450" s="564"/>
      <c r="O450" s="323"/>
      <c r="P450" s="784"/>
      <c r="Q450" s="564"/>
      <c r="R450" s="564"/>
      <c r="S450" s="784"/>
      <c r="T450" s="31"/>
      <c r="U450" s="31"/>
      <c r="V450" s="31"/>
      <c r="W450" s="31"/>
      <c r="X450" s="31"/>
      <c r="Y450" s="31"/>
    </row>
    <row r="451" spans="1:25" ht="18.75" hidden="1" thickBot="1">
      <c r="A451" s="31"/>
      <c r="B451" s="564"/>
      <c r="C451" s="564"/>
      <c r="D451" s="564"/>
      <c r="E451" s="304" t="s">
        <v>499</v>
      </c>
      <c r="F451" s="401">
        <f>(F443-E431-E432-E433-E434)-(I443-H431-H432-H433-H434)</f>
        <v>93405.329862139653</v>
      </c>
      <c r="G451" s="723"/>
      <c r="H451" s="304" t="s">
        <v>499</v>
      </c>
      <c r="I451" s="401">
        <f>(I443-H431-H432-H433-H434)-(L443-K431-K432-K433-K434)</f>
        <v>52764.51048317668</v>
      </c>
      <c r="J451" s="723"/>
      <c r="K451" s="304" t="s">
        <v>499</v>
      </c>
      <c r="L451" s="401">
        <f>(L443-K431-K432-K433-K434)-(O443-N431-N432-N433-N434)</f>
        <v>59477.196025915677</v>
      </c>
      <c r="M451" s="723"/>
      <c r="N451" s="304" t="s">
        <v>499</v>
      </c>
      <c r="O451" s="401">
        <f>(O443-N431-N432-N433-N434)-($R443-$Q431-$Q432-$Q434)</f>
        <v>0</v>
      </c>
      <c r="P451" s="723"/>
      <c r="Q451" s="304" t="s">
        <v>499</v>
      </c>
      <c r="R451" s="783"/>
      <c r="S451" s="723"/>
      <c r="T451" s="31"/>
      <c r="U451" s="31"/>
      <c r="V451" s="31"/>
      <c r="W451" s="31"/>
      <c r="X451" s="31"/>
      <c r="Y451" s="31"/>
    </row>
    <row r="452" spans="1:25" ht="18.75" hidden="1" thickBot="1">
      <c r="A452" s="31"/>
      <c r="B452" s="564"/>
      <c r="C452" s="564"/>
      <c r="D452" s="564"/>
      <c r="E452" s="306" t="s">
        <v>506</v>
      </c>
      <c r="F452" s="402">
        <f>F451/(F443-E431-E432-E433-E434)</f>
        <v>4.7878320528074017E-2</v>
      </c>
      <c r="G452" s="723"/>
      <c r="H452" s="306" t="s">
        <v>506</v>
      </c>
      <c r="I452" s="402">
        <f>I451/(I443-H431-H432-H433-H434)</f>
        <v>2.8406433393051645E-2</v>
      </c>
      <c r="J452" s="723"/>
      <c r="K452" s="306" t="s">
        <v>506</v>
      </c>
      <c r="L452" s="402">
        <f>L451/(O443-N431-N432-N433-N434)</f>
        <v>3.4079610780573116E-2</v>
      </c>
      <c r="M452" s="723"/>
      <c r="N452" s="306" t="s">
        <v>506</v>
      </c>
      <c r="O452" s="402">
        <f>O451/($R443-$Q431-$Q432-$Q434)</f>
        <v>0</v>
      </c>
      <c r="P452" s="723"/>
      <c r="Q452" s="306" t="s">
        <v>506</v>
      </c>
      <c r="R452" s="402"/>
      <c r="S452" s="723"/>
      <c r="T452" s="31"/>
      <c r="U452" s="31"/>
      <c r="V452" s="31"/>
      <c r="W452" s="31"/>
      <c r="X452" s="31"/>
      <c r="Y452" s="31"/>
    </row>
    <row r="453" spans="1:25" ht="18.75" hidden="1" thickBot="1">
      <c r="A453" s="31"/>
      <c r="B453" s="564"/>
      <c r="C453" s="564"/>
      <c r="D453" s="564"/>
      <c r="E453" s="732"/>
      <c r="F453" s="606"/>
      <c r="G453" s="723"/>
      <c r="H453" s="732"/>
      <c r="I453" s="606"/>
      <c r="J453" s="723"/>
      <c r="K453" s="732"/>
      <c r="L453" s="606"/>
      <c r="M453" s="723"/>
      <c r="N453" s="732"/>
      <c r="O453" s="606"/>
      <c r="P453" s="723"/>
      <c r="Q453" s="732"/>
      <c r="R453" s="785"/>
      <c r="S453" s="723"/>
      <c r="T453" s="31"/>
      <c r="U453" s="31"/>
      <c r="V453" s="31"/>
      <c r="W453" s="31"/>
      <c r="X453" s="31"/>
      <c r="Y453" s="31"/>
    </row>
    <row r="454" spans="1:25" ht="18.75" hidden="1" thickBot="1">
      <c r="A454" s="31"/>
      <c r="B454" s="564"/>
      <c r="C454" s="564"/>
      <c r="D454" s="564"/>
      <c r="E454" s="304" t="s">
        <v>508</v>
      </c>
      <c r="F454" s="401">
        <f>(F443-E431-E432-E433-E434)-($R443-$Q431-$Q432-$Q433-$Q434)</f>
        <v>205647.03637123201</v>
      </c>
      <c r="G454" s="723"/>
      <c r="H454" s="304" t="s">
        <v>508</v>
      </c>
      <c r="I454" s="401">
        <f>(I443-H431-H432-H433-H434)-($R443-$Q431-$Q432-$Q433-$Q434)</f>
        <v>112241.70650909236</v>
      </c>
      <c r="J454" s="723"/>
      <c r="K454" s="304" t="s">
        <v>508</v>
      </c>
      <c r="L454" s="401">
        <f>(L443-K431-K432-K433-K434)-($R443-$Q431-$Q432-$Q434)</f>
        <v>59477.196025915677</v>
      </c>
      <c r="M454" s="723"/>
      <c r="N454" s="304" t="s">
        <v>508</v>
      </c>
      <c r="O454" s="401">
        <f>(O443-N431-N432-N433-N434)-($R443-$Q431-$Q432-$Q434)</f>
        <v>0</v>
      </c>
      <c r="P454" s="723"/>
      <c r="Q454" s="732"/>
      <c r="R454" s="785"/>
      <c r="S454" s="723"/>
      <c r="T454" s="31"/>
      <c r="U454" s="31"/>
      <c r="V454" s="31"/>
      <c r="W454" s="31"/>
      <c r="X454" s="31"/>
      <c r="Y454" s="31"/>
    </row>
    <row r="455" spans="1:25" ht="18.75" hidden="1" thickBot="1">
      <c r="A455" s="31"/>
      <c r="B455" s="564"/>
      <c r="C455" s="564"/>
      <c r="D455" s="564"/>
      <c r="E455" s="306" t="s">
        <v>500</v>
      </c>
      <c r="F455" s="403">
        <f>F454/($R443-$Q431-$Q432-$Q434)</f>
        <v>0.11783290783674857</v>
      </c>
      <c r="G455" s="723"/>
      <c r="H455" s="306" t="s">
        <v>500</v>
      </c>
      <c r="I455" s="403">
        <f>I454/($R443-$Q431-$Q432-$Q434)</f>
        <v>6.4312945578511707E-2</v>
      </c>
      <c r="J455" s="723"/>
      <c r="K455" s="306" t="s">
        <v>500</v>
      </c>
      <c r="L455" s="402">
        <f>L454/($R443-$Q431-$Q432-$Q434)</f>
        <v>3.4079610780573116E-2</v>
      </c>
      <c r="M455" s="723"/>
      <c r="N455" s="306" t="s">
        <v>500</v>
      </c>
      <c r="O455" s="403">
        <f>O454/($R443-$Q431-$Q432-$Q434)</f>
        <v>0</v>
      </c>
      <c r="P455" s="723"/>
      <c r="Q455" s="732"/>
      <c r="R455" s="785"/>
      <c r="S455" s="723"/>
      <c r="T455" s="31"/>
      <c r="U455" s="31"/>
      <c r="V455" s="31"/>
      <c r="W455" s="31"/>
      <c r="X455" s="31"/>
      <c r="Y455" s="31"/>
    </row>
    <row r="456" spans="1:25" ht="16.5" hidden="1" thickBot="1">
      <c r="A456" s="31"/>
      <c r="B456" s="564"/>
      <c r="C456" s="564"/>
      <c r="D456" s="564"/>
      <c r="E456" s="732"/>
      <c r="F456" s="785"/>
      <c r="G456" s="723"/>
      <c r="H456" s="732"/>
      <c r="I456" s="785"/>
      <c r="J456" s="723"/>
      <c r="K456" s="732"/>
      <c r="L456" s="785"/>
      <c r="M456" s="723"/>
      <c r="N456" s="732"/>
      <c r="O456" s="785"/>
      <c r="P456" s="723"/>
      <c r="Q456" s="732"/>
      <c r="R456" s="785"/>
      <c r="S456" s="723"/>
      <c r="T456" s="31"/>
      <c r="U456" s="31"/>
      <c r="V456" s="31"/>
      <c r="W456" s="31"/>
      <c r="X456" s="31"/>
      <c r="Y456" s="31"/>
    </row>
    <row r="457" spans="1:25" ht="16.5" hidden="1" thickBot="1">
      <c r="A457" s="31"/>
      <c r="B457" s="564"/>
      <c r="C457" s="564"/>
      <c r="D457" s="564"/>
      <c r="E457" s="732" t="s">
        <v>509</v>
      </c>
      <c r="F457" s="785"/>
      <c r="G457" s="723"/>
      <c r="H457" s="732" t="s">
        <v>509</v>
      </c>
      <c r="I457" s="785"/>
      <c r="J457" s="723"/>
      <c r="K457" s="732" t="s">
        <v>509</v>
      </c>
      <c r="L457" s="785"/>
      <c r="M457" s="723"/>
      <c r="N457" s="732" t="s">
        <v>509</v>
      </c>
      <c r="O457" s="785"/>
      <c r="P457" s="723"/>
      <c r="Q457" s="732" t="s">
        <v>509</v>
      </c>
      <c r="R457" s="785"/>
      <c r="S457" s="723"/>
      <c r="T457" s="31"/>
      <c r="U457" s="31"/>
      <c r="V457" s="31"/>
      <c r="W457" s="31"/>
      <c r="X457" s="31"/>
      <c r="Y457" s="31"/>
    </row>
    <row r="458" spans="1:25" ht="16.5" hidden="1" thickBot="1">
      <c r="A458" s="71"/>
      <c r="B458" s="564"/>
      <c r="C458" s="564"/>
      <c r="D458" s="564"/>
      <c r="E458" s="716" t="s">
        <v>510</v>
      </c>
      <c r="F458" s="786">
        <f>(E418+E419+E420+E421+E422+E423+E425+E426)*0.5</f>
        <v>1231339.6515712927</v>
      </c>
      <c r="G458" s="723"/>
      <c r="H458" s="716" t="s">
        <v>510</v>
      </c>
      <c r="I458" s="786">
        <f>(H418+H419+H420+H421+H422+H423+H425+H426)*0.5</f>
        <v>1190695.2093519724</v>
      </c>
      <c r="J458" s="723"/>
      <c r="K458" s="716" t="s">
        <v>510</v>
      </c>
      <c r="L458" s="786">
        <f>(K418+K419+K420+K421+K422+K423+K425+K426)*0.5</f>
        <v>1156871.8051960899</v>
      </c>
      <c r="M458" s="723"/>
      <c r="N458" s="716" t="s">
        <v>510</v>
      </c>
      <c r="O458" s="786">
        <f>(N418+N419+N420+N421+N422+N423+N425+N426)*0.5</f>
        <v>1118745.3974871696</v>
      </c>
      <c r="P458" s="723"/>
      <c r="Q458" s="716" t="s">
        <v>510</v>
      </c>
      <c r="R458" s="786">
        <f>(Q418+Q419+Q420+Q421+Q422+Q423+Q425+Q426)*0.5</f>
        <v>1118745.3974871696</v>
      </c>
      <c r="S458" s="723"/>
      <c r="T458" s="31"/>
      <c r="U458" s="31"/>
      <c r="V458" s="31"/>
      <c r="W458" s="31"/>
      <c r="X458" s="31"/>
      <c r="Y458" s="31"/>
    </row>
    <row r="459" spans="1:25" ht="16.5" hidden="1" thickBot="1">
      <c r="A459" s="71"/>
      <c r="B459" s="564"/>
      <c r="C459" s="564"/>
      <c r="D459" s="564"/>
      <c r="E459" s="716" t="s">
        <v>511</v>
      </c>
      <c r="F459" s="785"/>
      <c r="G459" s="723"/>
      <c r="H459" s="716" t="s">
        <v>511</v>
      </c>
      <c r="I459" s="785"/>
      <c r="J459" s="723"/>
      <c r="K459" s="716" t="s">
        <v>511</v>
      </c>
      <c r="L459" s="785"/>
      <c r="M459" s="723"/>
      <c r="N459" s="716" t="s">
        <v>511</v>
      </c>
      <c r="O459" s="785"/>
      <c r="P459" s="723"/>
      <c r="Q459" s="716" t="s">
        <v>511</v>
      </c>
      <c r="R459" s="785"/>
      <c r="S459" s="723"/>
      <c r="T459" s="31"/>
      <c r="U459" s="31"/>
      <c r="V459" s="31"/>
      <c r="W459" s="31"/>
      <c r="X459" s="31"/>
      <c r="Y459" s="31"/>
    </row>
    <row r="460" spans="1:25" ht="15.75" hidden="1" thickBot="1">
      <c r="A460" s="71"/>
      <c r="B460" s="564"/>
      <c r="C460" s="564"/>
      <c r="D460" s="564"/>
      <c r="E460" s="564" t="s">
        <v>512</v>
      </c>
      <c r="F460" s="564">
        <f>F458*0.78</f>
        <v>960444.92822560831</v>
      </c>
      <c r="G460" s="723"/>
      <c r="H460" s="564" t="s">
        <v>512</v>
      </c>
      <c r="I460" s="564">
        <f>I458*0.78</f>
        <v>928742.26329453848</v>
      </c>
      <c r="J460" s="723"/>
      <c r="K460" s="564" t="s">
        <v>512</v>
      </c>
      <c r="L460" s="564">
        <f>L458*0.78</f>
        <v>902360.00805295014</v>
      </c>
      <c r="M460" s="723"/>
      <c r="N460" s="564" t="s">
        <v>512</v>
      </c>
      <c r="O460" s="564">
        <f>O458*0.78</f>
        <v>872621.4100399923</v>
      </c>
      <c r="P460" s="723"/>
      <c r="Q460" s="564" t="s">
        <v>512</v>
      </c>
      <c r="R460" s="564">
        <f>R458*0.78</f>
        <v>872621.4100399923</v>
      </c>
      <c r="S460" s="723"/>
      <c r="T460" s="31"/>
      <c r="U460" s="31"/>
      <c r="V460" s="31"/>
      <c r="W460" s="31"/>
      <c r="X460" s="31"/>
      <c r="Y460" s="31"/>
    </row>
    <row r="461" spans="1:25" ht="15.75" hidden="1" thickBot="1">
      <c r="A461" s="71"/>
      <c r="B461" s="564"/>
      <c r="C461" s="564"/>
      <c r="D461" s="564"/>
      <c r="E461" s="716" t="s">
        <v>513</v>
      </c>
      <c r="F461" s="716"/>
      <c r="G461" s="723"/>
      <c r="H461" s="716" t="s">
        <v>513</v>
      </c>
      <c r="I461" s="716"/>
      <c r="J461" s="723"/>
      <c r="K461" s="716" t="s">
        <v>513</v>
      </c>
      <c r="L461" s="716"/>
      <c r="M461" s="723"/>
      <c r="N461" s="716" t="s">
        <v>513</v>
      </c>
      <c r="O461" s="716"/>
      <c r="P461" s="723"/>
      <c r="Q461" s="716" t="s">
        <v>513</v>
      </c>
      <c r="R461" s="716"/>
      <c r="S461" s="723"/>
      <c r="T461" s="31"/>
      <c r="U461" s="31"/>
      <c r="V461" s="31"/>
      <c r="W461" s="31"/>
      <c r="X461" s="31"/>
      <c r="Y461" s="31"/>
    </row>
    <row r="462" spans="1:25" ht="16.5" hidden="1" thickBot="1">
      <c r="A462" s="71"/>
      <c r="B462" s="564"/>
      <c r="C462" s="564"/>
      <c r="D462" s="564"/>
      <c r="E462" s="787">
        <v>502</v>
      </c>
      <c r="F462" s="786">
        <f>-(E418+E419+E422+E420+E421+F436+E423+E425+F458+E426)*0.19</f>
        <v>-701863.60139563691</v>
      </c>
      <c r="G462" s="723"/>
      <c r="H462" s="787">
        <v>502</v>
      </c>
      <c r="I462" s="786">
        <f>-(H418+H419+H422+H420+H421+I436+H423+H425+I458+H426)*0.19</f>
        <v>-678696.26933062426</v>
      </c>
      <c r="J462" s="723"/>
      <c r="K462" s="787">
        <v>502</v>
      </c>
      <c r="L462" s="786">
        <f>-(K418+K419+K422+K420+K421+L436+K423+K425+L458+K426)*0.19</f>
        <v>-659416.92896177131</v>
      </c>
      <c r="M462" s="723"/>
      <c r="N462" s="787">
        <v>502</v>
      </c>
      <c r="O462" s="786">
        <f>-(N418+N419+N422+N420+N421+O436+N423+N425+O458+N426)*0.19</f>
        <v>-637684.87656768668</v>
      </c>
      <c r="P462" s="723"/>
      <c r="Q462" s="787">
        <v>502</v>
      </c>
      <c r="R462" s="786">
        <f>-(Q418+Q419+Q422+Q420+Q421+R436+Q423+Q425+R458+Q426)*0.19</f>
        <v>-637684.87656768668</v>
      </c>
      <c r="S462" s="723"/>
      <c r="T462" s="31"/>
      <c r="U462" s="31"/>
      <c r="V462" s="31"/>
      <c r="W462" s="31"/>
      <c r="X462" s="31"/>
      <c r="Y462" s="31"/>
    </row>
    <row r="463" spans="1:25" ht="16.5" hidden="1" thickBot="1">
      <c r="A463" s="71"/>
      <c r="B463" s="564"/>
      <c r="C463" s="564"/>
      <c r="D463" s="564"/>
      <c r="E463" s="787">
        <v>505</v>
      </c>
      <c r="F463" s="786">
        <f>-(E418+E419+E422+E420+E421+F436+E423+E425+F458+E426)*0.03</f>
        <v>-110820.56864141634</v>
      </c>
      <c r="G463" s="723"/>
      <c r="H463" s="787">
        <v>505</v>
      </c>
      <c r="I463" s="786">
        <f>-(H418+H419+H422+H420+H421+I436+H423+H425+I458+H426)*0.03</f>
        <v>-107162.56884167751</v>
      </c>
      <c r="J463" s="723"/>
      <c r="K463" s="787">
        <v>505</v>
      </c>
      <c r="L463" s="786">
        <f>-(K418+K419+K422+K420+K421+L436+K423+K425+L458+K426)*0.03</f>
        <v>-104118.46246764809</v>
      </c>
      <c r="M463" s="723"/>
      <c r="N463" s="787">
        <v>505</v>
      </c>
      <c r="O463" s="786">
        <f>-(N418+N419+N422+N420+N421+O436+N423+N425+O458+N426)*0.03</f>
        <v>-100687.08577384526</v>
      </c>
      <c r="P463" s="723"/>
      <c r="Q463" s="787">
        <v>505</v>
      </c>
      <c r="R463" s="786">
        <f>-(Q418+Q419+Q422+Q420+Q421+R436+Q423+Q425+R458+Q426)*0.03</f>
        <v>-100687.08577384526</v>
      </c>
      <c r="S463" s="723"/>
      <c r="T463" s="31"/>
      <c r="U463" s="31"/>
      <c r="V463" s="31"/>
      <c r="W463" s="31"/>
      <c r="X463" s="31"/>
      <c r="Y463" s="31"/>
    </row>
    <row r="464" spans="1:25" ht="16.5" hidden="1" thickBot="1">
      <c r="A464" s="71"/>
      <c r="B464" s="564"/>
      <c r="C464" s="564"/>
      <c r="D464" s="564"/>
      <c r="E464" s="785"/>
      <c r="F464" s="785"/>
      <c r="G464" s="723"/>
      <c r="H464" s="785"/>
      <c r="I464" s="785"/>
      <c r="J464" s="723"/>
      <c r="K464" s="785"/>
      <c r="L464" s="785"/>
      <c r="M464" s="723"/>
      <c r="N464" s="785"/>
      <c r="O464" s="785"/>
      <c r="P464" s="723"/>
      <c r="Q464" s="785"/>
      <c r="R464" s="785"/>
      <c r="S464" s="723"/>
      <c r="T464" s="31"/>
      <c r="U464" s="31"/>
      <c r="V464" s="31"/>
      <c r="W464" s="31"/>
      <c r="X464" s="31"/>
      <c r="Y464" s="31"/>
    </row>
    <row r="465" spans="1:25" ht="15.75" hidden="1" thickBot="1">
      <c r="A465" s="71"/>
      <c r="B465" s="564"/>
      <c r="C465" s="564"/>
      <c r="D465" s="564"/>
      <c r="E465" s="779" t="s">
        <v>514</v>
      </c>
      <c r="F465" s="779"/>
      <c r="G465" s="723"/>
      <c r="H465" s="779" t="s">
        <v>514</v>
      </c>
      <c r="I465" s="779"/>
      <c r="J465" s="723"/>
      <c r="K465" s="779" t="s">
        <v>514</v>
      </c>
      <c r="L465" s="779"/>
      <c r="M465" s="723"/>
      <c r="N465" s="779" t="s">
        <v>514</v>
      </c>
      <c r="O465" s="779"/>
      <c r="P465" s="723"/>
      <c r="Q465" s="779" t="s">
        <v>514</v>
      </c>
      <c r="R465" s="779"/>
      <c r="S465" s="723"/>
      <c r="T465" s="31"/>
      <c r="U465" s="31"/>
      <c r="V465" s="31"/>
      <c r="W465" s="31"/>
      <c r="X465" s="31"/>
      <c r="Y465" s="31"/>
    </row>
    <row r="466" spans="1:25" ht="16.5" hidden="1" thickBot="1">
      <c r="A466" s="71"/>
      <c r="B466" s="564"/>
      <c r="C466" s="564"/>
      <c r="D466" s="564"/>
      <c r="E466" s="779"/>
      <c r="F466" s="785">
        <f>E435+F458+F459+F462+F463</f>
        <v>3149770.7846768252</v>
      </c>
      <c r="G466" s="723"/>
      <c r="H466" s="779"/>
      <c r="I466" s="785">
        <f>H435+I458+I459+I462+I463</f>
        <v>3024662.789883615</v>
      </c>
      <c r="J466" s="723"/>
      <c r="K466" s="779"/>
      <c r="L466" s="785">
        <f>K435+L458+L459+L462+L463</f>
        <v>2895492.0241588503</v>
      </c>
      <c r="M466" s="723"/>
      <c r="N466" s="779"/>
      <c r="O466" s="785">
        <f>N435+O458+O459+O462+O463</f>
        <v>2806276.2301199771</v>
      </c>
      <c r="P466" s="723"/>
      <c r="Q466" s="779"/>
      <c r="R466" s="785">
        <f>Q435+R458+R459+R462+R463</f>
        <v>2746276.2301199771</v>
      </c>
      <c r="S466" s="723"/>
      <c r="T466" s="31"/>
      <c r="U466" s="31"/>
      <c r="V466" s="31"/>
      <c r="W466" s="31"/>
      <c r="X466" s="31"/>
      <c r="Y466" s="31"/>
    </row>
    <row r="467" spans="1:25" ht="16.5" hidden="1" thickBot="1">
      <c r="A467" s="71"/>
      <c r="B467" s="564"/>
      <c r="C467" s="564"/>
      <c r="D467" s="564"/>
      <c r="E467" s="788" t="s">
        <v>515</v>
      </c>
      <c r="F467" s="788"/>
      <c r="G467" s="723"/>
      <c r="H467" s="788" t="s">
        <v>515</v>
      </c>
      <c r="I467" s="788"/>
      <c r="J467" s="723"/>
      <c r="K467" s="788" t="s">
        <v>515</v>
      </c>
      <c r="L467" s="788"/>
      <c r="M467" s="723"/>
      <c r="N467" s="788" t="s">
        <v>515</v>
      </c>
      <c r="O467" s="788"/>
      <c r="P467" s="723"/>
      <c r="Q467" s="788" t="s">
        <v>515</v>
      </c>
      <c r="R467" s="788"/>
      <c r="S467" s="723"/>
      <c r="T467" s="31"/>
      <c r="U467" s="31"/>
      <c r="V467" s="31"/>
      <c r="W467" s="31"/>
      <c r="X467" s="31"/>
      <c r="Y467" s="31"/>
    </row>
    <row r="468" spans="1:25" ht="18.75" hidden="1" thickBot="1">
      <c r="A468" s="71"/>
      <c r="B468" s="564"/>
      <c r="C468" s="564"/>
      <c r="D468" s="564"/>
      <c r="E468" s="564"/>
      <c r="F468" s="789">
        <f>F466-F443+F439</f>
        <v>960444.92822560854</v>
      </c>
      <c r="G468" s="790"/>
      <c r="H468" s="564"/>
      <c r="I468" s="789">
        <f>I466-I443+I439</f>
        <v>928742.26329453802</v>
      </c>
      <c r="J468" s="790"/>
      <c r="K468" s="564"/>
      <c r="L468" s="789">
        <f>L466-L443+L439</f>
        <v>902360.00805295003</v>
      </c>
      <c r="M468" s="790"/>
      <c r="N468" s="564"/>
      <c r="O468" s="789">
        <f>O466-O443+O439</f>
        <v>872621.41003999254</v>
      </c>
      <c r="P468" s="790"/>
      <c r="Q468" s="564"/>
      <c r="R468" s="789">
        <f>R466-R443+R439</f>
        <v>872621.41003999254</v>
      </c>
      <c r="S468" s="790"/>
      <c r="T468" s="31"/>
      <c r="U468" s="31"/>
      <c r="V468" s="31"/>
      <c r="W468" s="31"/>
      <c r="X468" s="31"/>
      <c r="Y468" s="31"/>
    </row>
    <row r="469" spans="1:25" ht="15.75" hidden="1" thickBot="1">
      <c r="A469" s="71"/>
      <c r="B469" s="564"/>
      <c r="C469" s="564"/>
      <c r="D469" s="564"/>
      <c r="E469" s="564"/>
      <c r="F469" s="564"/>
      <c r="G469" s="723"/>
      <c r="H469" s="564"/>
      <c r="I469" s="564"/>
      <c r="J469" s="723"/>
      <c r="K469" s="564"/>
      <c r="L469" s="564"/>
      <c r="M469" s="723"/>
      <c r="N469" s="564"/>
      <c r="O469" s="564"/>
      <c r="P469" s="723"/>
      <c r="Q469" s="564"/>
      <c r="R469" s="564"/>
      <c r="S469" s="723"/>
      <c r="T469" s="31"/>
      <c r="U469" s="31"/>
      <c r="V469" s="31"/>
      <c r="W469" s="31"/>
      <c r="X469" s="31"/>
      <c r="Y469" s="31"/>
    </row>
    <row r="470" spans="1:25" ht="20.25">
      <c r="A470" s="791" t="s">
        <v>538</v>
      </c>
      <c r="B470" s="31"/>
      <c r="C470" s="31"/>
      <c r="D470" s="31"/>
      <c r="E470" s="866">
        <v>46266</v>
      </c>
      <c r="F470" s="867">
        <f>Aumentoseptiembre26</f>
        <v>0.10336174999999992</v>
      </c>
      <c r="G470" s="868"/>
      <c r="H470" s="807">
        <v>46204</v>
      </c>
      <c r="I470" s="808">
        <f>Aumentojulio26</f>
        <v>6.6049999999999942E-2</v>
      </c>
      <c r="J470" s="809"/>
      <c r="K470" s="807">
        <v>46143</v>
      </c>
      <c r="L470" s="808">
        <v>3.5000000000000003E-2</v>
      </c>
      <c r="M470" s="809"/>
      <c r="N470" s="807">
        <v>46054</v>
      </c>
      <c r="O470" s="808">
        <v>0</v>
      </c>
      <c r="P470" s="809"/>
      <c r="Q470" s="807">
        <v>45992</v>
      </c>
      <c r="R470" s="23"/>
      <c r="S470" s="21"/>
      <c r="T470" s="31"/>
      <c r="U470" s="31"/>
      <c r="V470" s="31"/>
      <c r="W470" s="31"/>
      <c r="X470" s="31"/>
      <c r="Y470" s="31"/>
    </row>
    <row r="471" spans="1:25" ht="18">
      <c r="A471" s="882" t="s">
        <v>539</v>
      </c>
      <c r="B471" s="883"/>
      <c r="C471" s="792"/>
      <c r="D471" s="793"/>
      <c r="E471" s="153"/>
      <c r="F471" s="153"/>
      <c r="G471" s="153"/>
      <c r="H471" s="153"/>
      <c r="I471" s="153"/>
      <c r="J471" s="153"/>
      <c r="K471" s="153"/>
      <c r="L471" s="153"/>
      <c r="M471" s="153"/>
      <c r="N471" s="153"/>
      <c r="O471" s="153"/>
      <c r="P471" s="153"/>
      <c r="Q471" s="22">
        <v>46023</v>
      </c>
      <c r="R471" s="153"/>
      <c r="S471" s="153"/>
      <c r="T471" s="153"/>
      <c r="U471" s="153"/>
      <c r="V471" s="153"/>
      <c r="W471" s="153"/>
      <c r="X471" s="153"/>
      <c r="Y471" s="153"/>
    </row>
    <row r="472" spans="1:25" ht="15.75">
      <c r="A472" s="870" t="s">
        <v>540</v>
      </c>
      <c r="B472" s="871"/>
      <c r="C472" s="871"/>
      <c r="D472" s="153"/>
      <c r="E472" s="153"/>
      <c r="F472" s="153"/>
      <c r="G472" s="153"/>
      <c r="H472" s="153"/>
      <c r="I472" s="153"/>
      <c r="J472" s="153"/>
      <c r="K472" s="153"/>
      <c r="L472" s="153"/>
      <c r="M472" s="153"/>
      <c r="N472" s="153"/>
      <c r="O472" s="153"/>
      <c r="P472" s="153"/>
      <c r="Q472" s="153"/>
      <c r="R472" s="153"/>
      <c r="S472" s="153"/>
    </row>
    <row r="473" spans="1:25" ht="18">
      <c r="A473" s="872" t="s">
        <v>541</v>
      </c>
      <c r="B473" s="873"/>
      <c r="C473" s="873"/>
      <c r="D473" s="153"/>
      <c r="E473" s="153"/>
      <c r="F473" s="153"/>
      <c r="G473" s="153"/>
      <c r="H473" s="153"/>
      <c r="I473" s="153"/>
      <c r="J473" s="153"/>
      <c r="K473" s="153"/>
      <c r="L473" s="153"/>
      <c r="M473" s="153"/>
      <c r="N473" s="153"/>
      <c r="O473" s="153"/>
      <c r="P473" s="153"/>
      <c r="Q473" s="153"/>
      <c r="R473" s="153"/>
      <c r="S473" s="153"/>
    </row>
    <row r="474" spans="1:25" ht="15.75">
      <c r="A474" s="874" t="s">
        <v>542</v>
      </c>
      <c r="B474" s="875"/>
      <c r="C474" s="875"/>
      <c r="D474" s="794"/>
      <c r="E474" s="153"/>
      <c r="F474" s="153"/>
      <c r="G474" s="153"/>
      <c r="H474" s="153"/>
      <c r="I474" s="153"/>
      <c r="J474" s="153"/>
      <c r="K474" s="153"/>
      <c r="L474" s="153"/>
      <c r="M474" s="153"/>
      <c r="N474" s="153"/>
      <c r="O474" s="153"/>
      <c r="P474" s="153"/>
      <c r="Q474" s="153"/>
      <c r="R474" s="153"/>
      <c r="S474" s="153"/>
    </row>
    <row r="475" spans="1:25" ht="15.75">
      <c r="A475" s="876" t="s">
        <v>543</v>
      </c>
      <c r="B475" s="871"/>
      <c r="C475" s="871"/>
      <c r="D475" s="153"/>
      <c r="E475" s="153"/>
      <c r="F475" s="153"/>
      <c r="G475" s="153"/>
      <c r="H475" s="153"/>
      <c r="I475" s="153"/>
      <c r="J475" s="153"/>
      <c r="K475" s="153"/>
      <c r="L475" s="153"/>
      <c r="M475" s="153"/>
      <c r="N475" s="153"/>
      <c r="O475" s="153"/>
      <c r="P475" s="153"/>
      <c r="Q475" s="153"/>
      <c r="R475" s="153"/>
      <c r="S475" s="153"/>
    </row>
    <row r="476" spans="1:25">
      <c r="A476" s="795" t="s">
        <v>544</v>
      </c>
      <c r="B476" s="31"/>
      <c r="C476" s="31"/>
      <c r="D476" s="31"/>
      <c r="E476" s="31"/>
      <c r="F476" s="31"/>
      <c r="G476" s="31"/>
      <c r="H476" s="31"/>
      <c r="I476" s="31"/>
      <c r="J476" s="31"/>
      <c r="K476" s="37"/>
      <c r="L476" s="37"/>
      <c r="M476" s="37"/>
      <c r="N476" s="37"/>
      <c r="O476" s="37"/>
      <c r="P476" s="37"/>
      <c r="Q476" s="37"/>
      <c r="R476" s="37"/>
      <c r="S476" s="37"/>
    </row>
    <row r="477" spans="1:25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7"/>
      <c r="L477" s="37"/>
      <c r="M477" s="37"/>
      <c r="N477" s="37"/>
      <c r="O477" s="37"/>
      <c r="P477" s="37"/>
      <c r="Q477" s="37"/>
      <c r="R477" s="37"/>
      <c r="S477" s="37"/>
    </row>
    <row r="478" spans="1:25" ht="15.75">
      <c r="A478" s="31"/>
      <c r="B478" s="31"/>
      <c r="C478" s="71"/>
      <c r="D478" s="91"/>
      <c r="E478" s="91"/>
      <c r="F478" s="91"/>
      <c r="G478" s="91"/>
      <c r="H478" s="91"/>
      <c r="I478" s="91"/>
      <c r="J478" s="91"/>
      <c r="K478" s="37"/>
      <c r="L478" s="37"/>
      <c r="M478" s="37"/>
      <c r="N478" s="37"/>
      <c r="O478" s="37"/>
      <c r="P478" s="37"/>
      <c r="Q478" s="37"/>
      <c r="R478" s="37"/>
      <c r="S478" s="37"/>
    </row>
    <row r="479" spans="1:25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7"/>
      <c r="L479" s="37"/>
      <c r="M479" s="37"/>
      <c r="N479" s="37"/>
      <c r="O479" s="37"/>
      <c r="P479" s="37"/>
      <c r="Q479" s="37"/>
      <c r="R479" s="37"/>
      <c r="S479" s="37"/>
    </row>
    <row r="480" spans="1:25" ht="15.75">
      <c r="A480" s="31"/>
      <c r="B480" s="31"/>
      <c r="C480" s="71"/>
      <c r="D480" s="91"/>
      <c r="E480" s="91"/>
      <c r="F480" s="91"/>
      <c r="G480" s="91"/>
      <c r="H480" s="91"/>
      <c r="I480" s="91"/>
      <c r="J480" s="91"/>
      <c r="K480" s="37"/>
      <c r="L480" s="37"/>
      <c r="M480" s="37"/>
      <c r="N480" s="37"/>
      <c r="O480" s="37"/>
      <c r="P480" s="37"/>
      <c r="Q480" s="37"/>
      <c r="R480" s="37"/>
      <c r="S480" s="37"/>
    </row>
    <row r="481" spans="1:19" ht="18">
      <c r="A481" s="31"/>
      <c r="B481" s="796"/>
      <c r="C481" s="31"/>
      <c r="D481" s="129"/>
      <c r="E481" s="797"/>
      <c r="F481" s="797"/>
      <c r="G481" s="51"/>
      <c r="H481" s="31"/>
      <c r="I481" s="31"/>
      <c r="J481" s="31"/>
      <c r="K481" s="37"/>
      <c r="L481" s="37"/>
      <c r="M481" s="37"/>
      <c r="N481" s="37"/>
      <c r="O481" s="37"/>
      <c r="P481" s="37"/>
      <c r="Q481" s="37"/>
      <c r="R481" s="37"/>
      <c r="S481" s="37"/>
    </row>
    <row r="482" spans="1:19">
      <c r="A482" s="31"/>
      <c r="B482" s="47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</row>
    <row r="483" spans="1:19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</row>
    <row r="484" spans="1:19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</row>
  </sheetData>
  <sheetProtection algorithmName="SHA-512" hashValue="lAmOqa6uzGp0sTBlrtXYIGrgnYuwxw878N1GlTHaPSTt1RVCC88n1SrdtS5X9SEI4aEdvewMVbX2SF5QOS67ZQ==" saltValue="1IVay6b+5xW587wFVx4Bzw==" spinCount="100000" sheet="1" objects="1" scenarios="1"/>
  <mergeCells count="28">
    <mergeCell ref="B62:C62"/>
    <mergeCell ref="A7:C7"/>
    <mergeCell ref="F39:H39"/>
    <mergeCell ref="F40:G40"/>
    <mergeCell ref="F41:G41"/>
    <mergeCell ref="A56:D56"/>
    <mergeCell ref="B351:C351"/>
    <mergeCell ref="B63:C63"/>
    <mergeCell ref="B65:C65"/>
    <mergeCell ref="B66:C66"/>
    <mergeCell ref="B67:C67"/>
    <mergeCell ref="B211:C211"/>
    <mergeCell ref="B212:C212"/>
    <mergeCell ref="B215:C215"/>
    <mergeCell ref="B216:C216"/>
    <mergeCell ref="B217:C217"/>
    <mergeCell ref="B219:C219"/>
    <mergeCell ref="B221:C221"/>
    <mergeCell ref="A472:C472"/>
    <mergeCell ref="A473:C473"/>
    <mergeCell ref="A474:C474"/>
    <mergeCell ref="A475:C475"/>
    <mergeCell ref="B352:C352"/>
    <mergeCell ref="B355:C355"/>
    <mergeCell ref="B356:C356"/>
    <mergeCell ref="B358:C358"/>
    <mergeCell ref="B359:C359"/>
    <mergeCell ref="A471:B471"/>
  </mergeCells>
  <phoneticPr fontId="132" type="noConversion"/>
  <hyperlinks>
    <hyperlink ref="A5" r:id="rId1" location="Cargos!A1" xr:uid="{D8B515B3-CB13-4A4C-884F-449E9F74D2DF}"/>
    <hyperlink ref="A473" r:id="rId2" xr:uid="{141B9BE6-EE8A-403E-BD41-FC37A3F00219}"/>
    <hyperlink ref="A474" r:id="rId3" xr:uid="{013E1293-D2D3-4F7E-A6AC-C7D9B07F5C5B}"/>
    <hyperlink ref="A475" r:id="rId4" xr:uid="{D9E815E4-565D-4C5C-A7A5-BD0F71B8FEB6}"/>
    <hyperlink ref="A476" r:id="rId5" xr:uid="{E9D30235-C15F-4B10-A611-D2AAAC5999D3}"/>
    <hyperlink ref="D12" r:id="rId6" xr:uid="{2DE643C6-7957-4371-AAB3-BAEC5DE428DC}"/>
  </hyperlinks>
  <pageMargins left="0.7" right="0.7" top="0.75" bottom="0.75" header="0.3" footer="0.3"/>
  <pageSetup paperSize="9" orientation="portrait" r:id="rId7"/>
  <legacy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03B1D-1A0D-4E8D-8732-92D36697B57F}">
  <dimension ref="A1:K372"/>
  <sheetViews>
    <sheetView zoomScaleNormal="100" workbookViewId="0">
      <selection activeCell="A2" sqref="A2"/>
    </sheetView>
  </sheetViews>
  <sheetFormatPr baseColWidth="10" defaultRowHeight="15"/>
  <cols>
    <col min="1" max="1" width="7.7109375" bestFit="1" customWidth="1"/>
    <col min="2" max="2" width="40.42578125" customWidth="1"/>
    <col min="3" max="3" width="8.7109375" bestFit="1" customWidth="1"/>
    <col min="4" max="4" width="16.85546875" bestFit="1" customWidth="1"/>
    <col min="5" max="5" width="9.5703125" bestFit="1" customWidth="1"/>
    <col min="6" max="6" width="12.7109375" bestFit="1" customWidth="1"/>
    <col min="7" max="7" width="12.42578125" bestFit="1" customWidth="1"/>
    <col min="8" max="8" width="7" bestFit="1" customWidth="1"/>
    <col min="9" max="9" width="6" bestFit="1" customWidth="1"/>
    <col min="10" max="10" width="5.140625" bestFit="1" customWidth="1"/>
    <col min="11" max="11" width="11.140625" bestFit="1" customWidth="1"/>
  </cols>
  <sheetData>
    <row r="1" spans="1:11">
      <c r="A1" s="1" t="s">
        <v>0</v>
      </c>
      <c r="B1" s="1" t="s">
        <v>1</v>
      </c>
      <c r="C1" s="1" t="s">
        <v>2</v>
      </c>
      <c r="D1" s="13" t="s">
        <v>3</v>
      </c>
      <c r="E1" s="1" t="s">
        <v>4</v>
      </c>
      <c r="F1" s="1" t="s">
        <v>5</v>
      </c>
      <c r="G1" s="14" t="s">
        <v>6</v>
      </c>
      <c r="H1" s="1" t="s">
        <v>7</v>
      </c>
      <c r="I1" s="15" t="s">
        <v>8</v>
      </c>
      <c r="J1" s="1" t="s">
        <v>9</v>
      </c>
      <c r="K1" s="1" t="s">
        <v>10</v>
      </c>
    </row>
    <row r="2" spans="1:11">
      <c r="A2" s="1"/>
      <c r="B2" s="16" t="s">
        <v>11</v>
      </c>
      <c r="C2" s="17"/>
      <c r="D2" s="14"/>
      <c r="E2" s="1"/>
      <c r="F2" s="1"/>
      <c r="G2" s="14"/>
      <c r="H2" s="1" t="s">
        <v>12</v>
      </c>
      <c r="I2" s="15" t="s">
        <v>13</v>
      </c>
      <c r="J2" s="1" t="s">
        <v>14</v>
      </c>
      <c r="K2" s="17"/>
    </row>
    <row r="3" spans="1:11">
      <c r="A3" s="4">
        <v>400</v>
      </c>
      <c r="B3" s="18" t="s">
        <v>15</v>
      </c>
      <c r="C3" s="2">
        <v>2490</v>
      </c>
      <c r="D3" s="3">
        <v>0</v>
      </c>
      <c r="E3" s="4">
        <f t="shared" ref="E3:E66" si="0">C3+D3</f>
        <v>2490</v>
      </c>
      <c r="F3" s="3"/>
      <c r="G3" s="5"/>
      <c r="H3" s="4"/>
      <c r="I3" s="2"/>
      <c r="J3" s="6"/>
      <c r="K3" s="7"/>
    </row>
    <row r="4" spans="1:11">
      <c r="A4" s="4">
        <v>401</v>
      </c>
      <c r="B4" s="18" t="s">
        <v>16</v>
      </c>
      <c r="C4" s="2">
        <v>1610</v>
      </c>
      <c r="D4" s="3">
        <v>87</v>
      </c>
      <c r="E4" s="4">
        <f t="shared" si="0"/>
        <v>1697</v>
      </c>
      <c r="F4" s="3"/>
      <c r="G4" s="5"/>
      <c r="H4" s="4"/>
      <c r="I4" s="2"/>
      <c r="J4" s="6"/>
      <c r="K4" s="7"/>
    </row>
    <row r="5" spans="1:11" ht="25.5">
      <c r="A5" s="4">
        <v>403</v>
      </c>
      <c r="B5" s="18" t="s">
        <v>17</v>
      </c>
      <c r="C5" s="2">
        <v>1680</v>
      </c>
      <c r="D5" s="3">
        <v>77</v>
      </c>
      <c r="E5" s="4">
        <f t="shared" si="0"/>
        <v>1757</v>
      </c>
      <c r="F5" s="3"/>
      <c r="G5" s="5"/>
      <c r="H5" s="4"/>
      <c r="I5" s="2">
        <v>830</v>
      </c>
      <c r="J5" s="6"/>
      <c r="K5" s="7"/>
    </row>
    <row r="6" spans="1:11">
      <c r="A6" s="4">
        <v>404</v>
      </c>
      <c r="B6" s="18" t="s">
        <v>18</v>
      </c>
      <c r="C6" s="2">
        <v>2000</v>
      </c>
      <c r="D6" s="3">
        <v>36</v>
      </c>
      <c r="E6" s="4">
        <f t="shared" si="0"/>
        <v>2036</v>
      </c>
      <c r="F6" s="3"/>
      <c r="G6" s="5"/>
      <c r="H6" s="4"/>
      <c r="I6" s="2"/>
      <c r="J6" s="6"/>
      <c r="K6" s="7"/>
    </row>
    <row r="7" spans="1:11">
      <c r="A7" s="4">
        <v>405</v>
      </c>
      <c r="B7" s="18" t="s">
        <v>19</v>
      </c>
      <c r="C7" s="2">
        <v>2840</v>
      </c>
      <c r="D7" s="3">
        <v>0</v>
      </c>
      <c r="E7" s="4">
        <f t="shared" si="0"/>
        <v>2840</v>
      </c>
      <c r="F7" s="3"/>
      <c r="G7" s="5"/>
      <c r="H7" s="4"/>
      <c r="I7" s="2"/>
      <c r="J7" s="6"/>
      <c r="K7" s="7"/>
    </row>
    <row r="8" spans="1:11">
      <c r="A8" s="4">
        <v>406</v>
      </c>
      <c r="B8" s="18" t="s">
        <v>20</v>
      </c>
      <c r="C8" s="2">
        <v>1840</v>
      </c>
      <c r="D8" s="3">
        <v>57</v>
      </c>
      <c r="E8" s="4">
        <f t="shared" si="0"/>
        <v>1897</v>
      </c>
      <c r="F8" s="3"/>
      <c r="G8" s="5"/>
      <c r="H8" s="4"/>
      <c r="I8" s="2"/>
      <c r="J8" s="6"/>
      <c r="K8" s="7"/>
    </row>
    <row r="9" spans="1:11">
      <c r="A9" s="4">
        <v>407</v>
      </c>
      <c r="B9" s="18" t="s">
        <v>21</v>
      </c>
      <c r="C9" s="2">
        <v>1680</v>
      </c>
      <c r="D9" s="3">
        <v>77</v>
      </c>
      <c r="E9" s="4">
        <f t="shared" si="0"/>
        <v>1757</v>
      </c>
      <c r="F9" s="3"/>
      <c r="G9" s="5"/>
      <c r="H9" s="4"/>
      <c r="I9" s="2"/>
      <c r="J9" s="6"/>
      <c r="K9" s="7"/>
    </row>
    <row r="10" spans="1:11">
      <c r="A10" s="4">
        <v>408</v>
      </c>
      <c r="B10" s="18" t="s">
        <v>22</v>
      </c>
      <c r="C10" s="2">
        <v>2510</v>
      </c>
      <c r="D10" s="3">
        <v>0</v>
      </c>
      <c r="E10" s="4">
        <f t="shared" si="0"/>
        <v>2510</v>
      </c>
      <c r="F10" s="3"/>
      <c r="G10" s="5"/>
      <c r="H10" s="4"/>
      <c r="I10" s="2"/>
      <c r="J10" s="6"/>
      <c r="K10" s="7"/>
    </row>
    <row r="11" spans="1:11">
      <c r="A11" s="4">
        <v>409</v>
      </c>
      <c r="B11" s="18" t="s">
        <v>23</v>
      </c>
      <c r="C11" s="2">
        <v>2000</v>
      </c>
      <c r="D11" s="3">
        <v>36</v>
      </c>
      <c r="E11" s="4">
        <f t="shared" si="0"/>
        <v>2036</v>
      </c>
      <c r="F11" s="3"/>
      <c r="G11" s="5"/>
      <c r="H11" s="4"/>
      <c r="I11" s="2">
        <v>830</v>
      </c>
      <c r="J11" s="6"/>
      <c r="K11" s="7"/>
    </row>
    <row r="12" spans="1:11">
      <c r="A12" s="4">
        <v>410</v>
      </c>
      <c r="B12" s="18" t="s">
        <v>24</v>
      </c>
      <c r="C12" s="2">
        <v>1740</v>
      </c>
      <c r="D12" s="3">
        <v>75</v>
      </c>
      <c r="E12" s="4">
        <f t="shared" si="0"/>
        <v>1815</v>
      </c>
      <c r="F12" s="3"/>
      <c r="G12" s="5"/>
      <c r="H12" s="4"/>
      <c r="I12" s="2"/>
      <c r="J12" s="6"/>
      <c r="K12" s="7"/>
    </row>
    <row r="13" spans="1:11">
      <c r="A13" s="4">
        <v>411</v>
      </c>
      <c r="B13" s="18" t="s">
        <v>25</v>
      </c>
      <c r="C13" s="2">
        <v>2300</v>
      </c>
      <c r="D13" s="3">
        <v>0</v>
      </c>
      <c r="E13" s="4">
        <f t="shared" si="0"/>
        <v>2300</v>
      </c>
      <c r="F13" s="3"/>
      <c r="G13" s="5"/>
      <c r="H13" s="4"/>
      <c r="I13" s="2"/>
      <c r="J13" s="6"/>
      <c r="K13" s="7"/>
    </row>
    <row r="14" spans="1:11">
      <c r="A14" s="4">
        <v>412</v>
      </c>
      <c r="B14" s="18" t="s">
        <v>26</v>
      </c>
      <c r="C14" s="2">
        <v>1690</v>
      </c>
      <c r="D14" s="3">
        <v>76</v>
      </c>
      <c r="E14" s="4">
        <f t="shared" si="0"/>
        <v>1766</v>
      </c>
      <c r="F14" s="3"/>
      <c r="G14" s="5"/>
      <c r="H14" s="4"/>
      <c r="I14" s="2"/>
      <c r="J14" s="6"/>
      <c r="K14" s="7"/>
    </row>
    <row r="15" spans="1:11">
      <c r="A15" s="4">
        <v>414</v>
      </c>
      <c r="B15" s="18" t="s">
        <v>27</v>
      </c>
      <c r="C15" s="2">
        <v>1340</v>
      </c>
      <c r="D15" s="3">
        <v>122</v>
      </c>
      <c r="E15" s="4">
        <f t="shared" si="0"/>
        <v>1462</v>
      </c>
      <c r="F15" s="3"/>
      <c r="G15" s="5"/>
      <c r="H15" s="4"/>
      <c r="I15" s="2"/>
      <c r="J15" s="6"/>
      <c r="K15" s="7"/>
    </row>
    <row r="16" spans="1:11">
      <c r="A16" s="4">
        <v>415</v>
      </c>
      <c r="B16" s="18" t="s">
        <v>28</v>
      </c>
      <c r="C16" s="2">
        <v>1500</v>
      </c>
      <c r="D16" s="3">
        <v>101</v>
      </c>
      <c r="E16" s="4">
        <f t="shared" si="0"/>
        <v>1601</v>
      </c>
      <c r="F16" s="3"/>
      <c r="G16" s="5"/>
      <c r="H16" s="4"/>
      <c r="I16" s="2"/>
      <c r="J16" s="6"/>
      <c r="K16" s="7"/>
    </row>
    <row r="17" spans="1:11">
      <c r="A17" s="4">
        <v>416</v>
      </c>
      <c r="B17" s="18" t="s">
        <v>29</v>
      </c>
      <c r="C17" s="2">
        <v>776.4</v>
      </c>
      <c r="D17" s="3">
        <v>0</v>
      </c>
      <c r="E17" s="4">
        <f t="shared" si="0"/>
        <v>776.4</v>
      </c>
      <c r="F17" s="3"/>
      <c r="G17" s="5"/>
      <c r="H17" s="4"/>
      <c r="I17" s="2"/>
      <c r="J17" s="6"/>
      <c r="K17" s="7"/>
    </row>
    <row r="18" spans="1:11">
      <c r="A18" s="4">
        <v>417</v>
      </c>
      <c r="B18" s="18" t="s">
        <v>30</v>
      </c>
      <c r="C18" s="2">
        <v>971</v>
      </c>
      <c r="D18" s="3">
        <v>414.7</v>
      </c>
      <c r="E18" s="4">
        <f t="shared" si="0"/>
        <v>1385.7</v>
      </c>
      <c r="F18" s="3"/>
      <c r="G18" s="5"/>
      <c r="H18" s="4"/>
      <c r="I18" s="2"/>
      <c r="J18" s="6"/>
      <c r="K18" s="7"/>
    </row>
    <row r="19" spans="1:11">
      <c r="A19" s="4">
        <v>418</v>
      </c>
      <c r="B19" s="18" t="s">
        <v>31</v>
      </c>
      <c r="C19" s="2">
        <v>1552.8</v>
      </c>
      <c r="D19" s="3">
        <v>0</v>
      </c>
      <c r="E19" s="4">
        <f t="shared" si="0"/>
        <v>1552.8</v>
      </c>
      <c r="F19" s="3"/>
      <c r="G19" s="5"/>
      <c r="H19" s="4"/>
      <c r="I19" s="2"/>
      <c r="J19" s="6"/>
      <c r="K19" s="7"/>
    </row>
    <row r="20" spans="1:11">
      <c r="A20" s="4">
        <v>419</v>
      </c>
      <c r="B20" s="18" t="s">
        <v>32</v>
      </c>
      <c r="C20" s="2">
        <v>776.4</v>
      </c>
      <c r="D20" s="3">
        <v>0</v>
      </c>
      <c r="E20" s="4">
        <f t="shared" si="0"/>
        <v>776.4</v>
      </c>
      <c r="F20" s="3"/>
      <c r="G20" s="5"/>
      <c r="H20" s="4"/>
      <c r="I20" s="2"/>
      <c r="J20" s="6"/>
      <c r="K20" s="7"/>
    </row>
    <row r="21" spans="1:11">
      <c r="A21" s="4">
        <v>420</v>
      </c>
      <c r="B21" s="18" t="s">
        <v>33</v>
      </c>
      <c r="C21" s="2">
        <v>1164.5999999999999</v>
      </c>
      <c r="D21" s="3">
        <v>0</v>
      </c>
      <c r="E21" s="4">
        <f t="shared" si="0"/>
        <v>1164.5999999999999</v>
      </c>
      <c r="F21" s="3"/>
      <c r="G21" s="5"/>
      <c r="H21" s="4"/>
      <c r="I21" s="2"/>
      <c r="J21" s="6"/>
      <c r="K21" s="7"/>
    </row>
    <row r="22" spans="1:11">
      <c r="A22" s="4">
        <v>421</v>
      </c>
      <c r="B22" s="18" t="s">
        <v>34</v>
      </c>
      <c r="C22" s="2">
        <v>1340</v>
      </c>
      <c r="D22" s="3">
        <v>122</v>
      </c>
      <c r="E22" s="4">
        <f t="shared" si="0"/>
        <v>1462</v>
      </c>
      <c r="F22" s="3"/>
      <c r="G22" s="5"/>
      <c r="H22" s="4"/>
      <c r="I22" s="2"/>
      <c r="J22" s="6"/>
      <c r="K22" s="7"/>
    </row>
    <row r="23" spans="1:11">
      <c r="A23" s="4">
        <v>422</v>
      </c>
      <c r="B23" s="18" t="s">
        <v>35</v>
      </c>
      <c r="C23" s="2">
        <v>971</v>
      </c>
      <c r="D23" s="3">
        <v>414.7</v>
      </c>
      <c r="E23" s="4">
        <f t="shared" si="0"/>
        <v>1385.7</v>
      </c>
      <c r="F23" s="3"/>
      <c r="G23" s="5"/>
      <c r="H23" s="4"/>
      <c r="I23" s="2"/>
      <c r="J23" s="6"/>
      <c r="K23" s="7"/>
    </row>
    <row r="24" spans="1:11">
      <c r="A24" s="4">
        <v>424</v>
      </c>
      <c r="B24" s="18" t="s">
        <v>36</v>
      </c>
      <c r="C24" s="2">
        <v>1370</v>
      </c>
      <c r="D24" s="3">
        <v>118</v>
      </c>
      <c r="E24" s="4">
        <f t="shared" si="0"/>
        <v>1488</v>
      </c>
      <c r="F24" s="3"/>
      <c r="G24" s="5"/>
      <c r="H24" s="4"/>
      <c r="I24" s="2"/>
      <c r="J24" s="6"/>
      <c r="K24" s="7"/>
    </row>
    <row r="25" spans="1:11">
      <c r="A25" s="4">
        <v>425</v>
      </c>
      <c r="B25" s="18" t="s">
        <v>37</v>
      </c>
      <c r="C25" s="2">
        <v>1580</v>
      </c>
      <c r="D25" s="3">
        <v>90</v>
      </c>
      <c r="E25" s="4">
        <f t="shared" si="0"/>
        <v>1670</v>
      </c>
      <c r="F25" s="3"/>
      <c r="G25" s="5"/>
      <c r="H25" s="4"/>
      <c r="I25" s="2"/>
      <c r="J25" s="6"/>
      <c r="K25" s="7"/>
    </row>
    <row r="26" spans="1:11">
      <c r="A26" s="4">
        <v>426</v>
      </c>
      <c r="B26" s="18" t="s">
        <v>38</v>
      </c>
      <c r="C26" s="2">
        <v>1340</v>
      </c>
      <c r="D26" s="3">
        <v>122</v>
      </c>
      <c r="E26" s="4">
        <f t="shared" si="0"/>
        <v>1462</v>
      </c>
      <c r="F26" s="3"/>
      <c r="G26" s="5"/>
      <c r="H26" s="4"/>
      <c r="I26" s="2"/>
      <c r="J26" s="6"/>
      <c r="K26" s="7"/>
    </row>
    <row r="27" spans="1:11">
      <c r="A27" s="4">
        <v>427</v>
      </c>
      <c r="B27" s="18" t="s">
        <v>39</v>
      </c>
      <c r="C27" s="2">
        <v>1300</v>
      </c>
      <c r="D27" s="3">
        <v>127</v>
      </c>
      <c r="E27" s="4">
        <f t="shared" si="0"/>
        <v>1427</v>
      </c>
      <c r="F27" s="3"/>
      <c r="G27" s="5"/>
      <c r="H27" s="4"/>
      <c r="I27" s="2"/>
      <c r="J27" s="6"/>
      <c r="K27" s="7"/>
    </row>
    <row r="28" spans="1:11">
      <c r="A28" s="4">
        <v>432</v>
      </c>
      <c r="B28" s="18" t="s">
        <v>40</v>
      </c>
      <c r="C28" s="2">
        <v>941</v>
      </c>
      <c r="D28" s="3">
        <v>414.7</v>
      </c>
      <c r="E28" s="4">
        <f t="shared" si="0"/>
        <v>1355.7</v>
      </c>
      <c r="F28" s="3"/>
      <c r="G28" s="5"/>
      <c r="H28" s="4"/>
      <c r="I28" s="2"/>
      <c r="J28" s="6"/>
      <c r="K28" s="7"/>
    </row>
    <row r="29" spans="1:11">
      <c r="A29" s="4">
        <v>433</v>
      </c>
      <c r="B29" s="18" t="s">
        <v>41</v>
      </c>
      <c r="C29" s="2">
        <v>941</v>
      </c>
      <c r="D29" s="3">
        <v>414.7</v>
      </c>
      <c r="E29" s="4">
        <f t="shared" si="0"/>
        <v>1355.7</v>
      </c>
      <c r="F29" s="3"/>
      <c r="G29" s="5"/>
      <c r="H29" s="4"/>
      <c r="I29" s="2"/>
      <c r="J29" s="6"/>
      <c r="K29" s="7"/>
    </row>
    <row r="30" spans="1:11">
      <c r="A30" s="4">
        <v>438</v>
      </c>
      <c r="B30" s="18" t="s">
        <v>42</v>
      </c>
      <c r="C30" s="2">
        <v>906</v>
      </c>
      <c r="D30" s="3">
        <v>414.7</v>
      </c>
      <c r="E30" s="4">
        <f t="shared" si="0"/>
        <v>1320.7</v>
      </c>
      <c r="F30" s="3"/>
      <c r="G30" s="5"/>
      <c r="H30" s="4"/>
      <c r="I30" s="2"/>
      <c r="J30" s="6"/>
      <c r="K30" s="7"/>
    </row>
    <row r="31" spans="1:11">
      <c r="A31" s="4">
        <v>440</v>
      </c>
      <c r="B31" s="18" t="s">
        <v>43</v>
      </c>
      <c r="C31" s="2">
        <v>1680</v>
      </c>
      <c r="D31" s="3">
        <v>77</v>
      </c>
      <c r="E31" s="4">
        <f t="shared" si="0"/>
        <v>1757</v>
      </c>
      <c r="F31" s="3"/>
      <c r="G31" s="5"/>
      <c r="H31" s="4"/>
      <c r="I31" s="2"/>
      <c r="J31" s="6"/>
      <c r="K31" s="7"/>
    </row>
    <row r="32" spans="1:11" ht="25.5">
      <c r="A32" s="4">
        <v>441</v>
      </c>
      <c r="B32" s="18" t="s">
        <v>44</v>
      </c>
      <c r="C32" s="2">
        <v>2275</v>
      </c>
      <c r="D32" s="3">
        <v>0</v>
      </c>
      <c r="E32" s="4">
        <f t="shared" si="0"/>
        <v>2275</v>
      </c>
      <c r="F32" s="3"/>
      <c r="G32" s="5"/>
      <c r="H32" s="4"/>
      <c r="I32" s="2"/>
      <c r="J32" s="6"/>
      <c r="K32" s="7"/>
    </row>
    <row r="33" spans="1:11">
      <c r="A33" s="4">
        <v>443</v>
      </c>
      <c r="B33" s="18" t="s">
        <v>45</v>
      </c>
      <c r="C33" s="2">
        <v>1830</v>
      </c>
      <c r="D33" s="3">
        <v>58</v>
      </c>
      <c r="E33" s="4">
        <f t="shared" si="0"/>
        <v>1888</v>
      </c>
      <c r="F33" s="3"/>
      <c r="G33" s="5"/>
      <c r="H33" s="4"/>
      <c r="I33" s="2"/>
      <c r="J33" s="6"/>
      <c r="K33" s="7"/>
    </row>
    <row r="34" spans="1:11">
      <c r="A34" s="4">
        <v>444</v>
      </c>
      <c r="B34" s="18" t="s">
        <v>46</v>
      </c>
      <c r="C34" s="2">
        <v>1500</v>
      </c>
      <c r="D34" s="3">
        <v>101</v>
      </c>
      <c r="E34" s="4">
        <f t="shared" si="0"/>
        <v>1601</v>
      </c>
      <c r="F34" s="3"/>
      <c r="G34" s="5"/>
      <c r="H34" s="4"/>
      <c r="I34" s="2">
        <v>750</v>
      </c>
      <c r="J34" s="6"/>
      <c r="K34" s="7"/>
    </row>
    <row r="35" spans="1:11">
      <c r="A35" s="4">
        <v>445</v>
      </c>
      <c r="B35" s="18" t="s">
        <v>47</v>
      </c>
      <c r="C35" s="2">
        <v>1750</v>
      </c>
      <c r="D35" s="3">
        <v>68</v>
      </c>
      <c r="E35" s="4">
        <f t="shared" si="0"/>
        <v>1818</v>
      </c>
      <c r="F35" s="3"/>
      <c r="G35" s="5"/>
      <c r="H35" s="4"/>
      <c r="I35" s="2">
        <v>750</v>
      </c>
      <c r="J35" s="6"/>
      <c r="K35" s="7"/>
    </row>
    <row r="36" spans="1:11">
      <c r="A36" s="4">
        <v>450</v>
      </c>
      <c r="B36" s="18" t="s">
        <v>48</v>
      </c>
      <c r="C36" s="2">
        <v>2329.1999999999998</v>
      </c>
      <c r="D36" s="3">
        <v>0</v>
      </c>
      <c r="E36" s="4">
        <f t="shared" si="0"/>
        <v>2329.1999999999998</v>
      </c>
      <c r="F36" s="3"/>
      <c r="G36" s="5"/>
      <c r="H36" s="4"/>
      <c r="I36" s="2"/>
      <c r="J36" s="6"/>
      <c r="K36" s="7"/>
    </row>
    <row r="37" spans="1:11">
      <c r="A37" s="4">
        <v>454</v>
      </c>
      <c r="B37" s="18" t="s">
        <v>49</v>
      </c>
      <c r="C37" s="2">
        <v>1690</v>
      </c>
      <c r="D37" s="3">
        <v>76</v>
      </c>
      <c r="E37" s="4">
        <f t="shared" si="0"/>
        <v>1766</v>
      </c>
      <c r="F37" s="3"/>
      <c r="G37" s="5"/>
      <c r="H37" s="4"/>
      <c r="I37" s="2"/>
      <c r="J37" s="6"/>
      <c r="K37" s="7"/>
    </row>
    <row r="38" spans="1:11">
      <c r="A38" s="4">
        <v>455</v>
      </c>
      <c r="B38" s="18" t="s">
        <v>50</v>
      </c>
      <c r="C38" s="2">
        <v>922</v>
      </c>
      <c r="D38" s="3">
        <v>414.7</v>
      </c>
      <c r="E38" s="4">
        <f t="shared" si="0"/>
        <v>1336.7</v>
      </c>
      <c r="F38" s="3"/>
      <c r="G38" s="5"/>
      <c r="H38" s="4"/>
      <c r="I38" s="2"/>
      <c r="J38" s="6"/>
      <c r="K38" s="7"/>
    </row>
    <row r="39" spans="1:11">
      <c r="A39" s="4">
        <v>456</v>
      </c>
      <c r="B39" s="18" t="s">
        <v>51</v>
      </c>
      <c r="C39" s="2">
        <v>971</v>
      </c>
      <c r="D39" s="3">
        <v>414.7</v>
      </c>
      <c r="E39" s="4">
        <f t="shared" si="0"/>
        <v>1385.7</v>
      </c>
      <c r="F39" s="3"/>
      <c r="G39" s="5"/>
      <c r="H39" s="4"/>
      <c r="I39" s="2"/>
      <c r="J39" s="6"/>
      <c r="K39" s="7"/>
    </row>
    <row r="40" spans="1:11">
      <c r="A40" s="4">
        <v>457</v>
      </c>
      <c r="B40" s="18" t="s">
        <v>52</v>
      </c>
      <c r="C40" s="2">
        <v>2100</v>
      </c>
      <c r="D40" s="3">
        <v>23</v>
      </c>
      <c r="E40" s="4">
        <f t="shared" si="0"/>
        <v>2123</v>
      </c>
      <c r="F40" s="3"/>
      <c r="G40" s="5"/>
      <c r="H40" s="4"/>
      <c r="I40" s="2"/>
      <c r="J40" s="6"/>
      <c r="K40" s="7"/>
    </row>
    <row r="41" spans="1:11">
      <c r="A41" s="4">
        <v>460</v>
      </c>
      <c r="B41" s="18" t="s">
        <v>53</v>
      </c>
      <c r="C41" s="2">
        <v>2840</v>
      </c>
      <c r="D41" s="3">
        <v>0</v>
      </c>
      <c r="E41" s="4">
        <f t="shared" si="0"/>
        <v>2840</v>
      </c>
      <c r="F41" s="3"/>
      <c r="G41" s="5"/>
      <c r="H41" s="4"/>
      <c r="I41" s="2"/>
      <c r="J41" s="6"/>
      <c r="K41" s="7"/>
    </row>
    <row r="42" spans="1:11">
      <c r="A42" s="4">
        <v>461</v>
      </c>
      <c r="B42" s="18" t="s">
        <v>54</v>
      </c>
      <c r="C42" s="2">
        <v>2220</v>
      </c>
      <c r="D42" s="3">
        <v>7</v>
      </c>
      <c r="E42" s="4">
        <f t="shared" si="0"/>
        <v>2227</v>
      </c>
      <c r="F42" s="3">
        <v>521.4</v>
      </c>
      <c r="G42" s="5">
        <v>521.4</v>
      </c>
      <c r="H42" s="4"/>
      <c r="I42" s="2"/>
      <c r="J42" s="6"/>
      <c r="K42" s="7"/>
    </row>
    <row r="43" spans="1:11">
      <c r="A43" s="4">
        <v>465</v>
      </c>
      <c r="B43" s="18" t="s">
        <v>55</v>
      </c>
      <c r="C43" s="2">
        <v>1850</v>
      </c>
      <c r="D43" s="3">
        <v>55</v>
      </c>
      <c r="E43" s="4">
        <f t="shared" si="0"/>
        <v>1905</v>
      </c>
      <c r="F43" s="3"/>
      <c r="G43" s="5"/>
      <c r="H43" s="4"/>
      <c r="I43" s="2"/>
      <c r="J43" s="6"/>
      <c r="K43" s="7"/>
    </row>
    <row r="44" spans="1:11">
      <c r="A44" s="4">
        <v>468</v>
      </c>
      <c r="B44" s="18" t="s">
        <v>56</v>
      </c>
      <c r="C44" s="2">
        <v>2100</v>
      </c>
      <c r="D44" s="3">
        <v>23</v>
      </c>
      <c r="E44" s="4">
        <f t="shared" si="0"/>
        <v>2123</v>
      </c>
      <c r="F44" s="3"/>
      <c r="G44" s="5"/>
      <c r="H44" s="4"/>
      <c r="I44" s="2"/>
      <c r="J44" s="6"/>
      <c r="K44" s="7"/>
    </row>
    <row r="45" spans="1:11">
      <c r="A45" s="4">
        <v>469</v>
      </c>
      <c r="B45" s="18" t="s">
        <v>57</v>
      </c>
      <c r="C45" s="2">
        <v>1740</v>
      </c>
      <c r="D45" s="3">
        <v>75</v>
      </c>
      <c r="E45" s="4">
        <f t="shared" si="0"/>
        <v>1815</v>
      </c>
      <c r="F45" s="3"/>
      <c r="G45" s="5"/>
      <c r="H45" s="4"/>
      <c r="I45" s="2">
        <v>750</v>
      </c>
      <c r="J45" s="6"/>
      <c r="K45" s="7"/>
    </row>
    <row r="46" spans="1:11">
      <c r="A46" s="4">
        <v>470</v>
      </c>
      <c r="B46" s="18" t="s">
        <v>58</v>
      </c>
      <c r="C46" s="2">
        <v>1580</v>
      </c>
      <c r="D46" s="3">
        <v>90</v>
      </c>
      <c r="E46" s="4">
        <f t="shared" si="0"/>
        <v>1670</v>
      </c>
      <c r="F46" s="3">
        <v>347.6</v>
      </c>
      <c r="G46" s="5" t="s">
        <v>59</v>
      </c>
      <c r="H46" s="4"/>
      <c r="I46" s="2"/>
      <c r="J46" s="6"/>
      <c r="K46" s="7"/>
    </row>
    <row r="47" spans="1:11">
      <c r="A47" s="4">
        <v>472</v>
      </c>
      <c r="B47" s="18" t="s">
        <v>60</v>
      </c>
      <c r="C47" s="2">
        <v>1564</v>
      </c>
      <c r="D47" s="3">
        <v>93</v>
      </c>
      <c r="E47" s="4">
        <f t="shared" si="0"/>
        <v>1657</v>
      </c>
      <c r="F47" s="3"/>
      <c r="G47" s="5"/>
      <c r="H47" s="4"/>
      <c r="I47" s="2"/>
      <c r="J47" s="6"/>
      <c r="K47" s="7"/>
    </row>
    <row r="48" spans="1:11">
      <c r="A48" s="4">
        <v>480</v>
      </c>
      <c r="B48" s="18" t="s">
        <v>61</v>
      </c>
      <c r="C48" s="2">
        <v>971</v>
      </c>
      <c r="D48" s="3">
        <v>414.7</v>
      </c>
      <c r="E48" s="4">
        <f t="shared" si="0"/>
        <v>1385.7</v>
      </c>
      <c r="F48" s="3"/>
      <c r="G48" s="5"/>
      <c r="H48" s="4"/>
      <c r="I48" s="2"/>
      <c r="J48" s="6"/>
      <c r="K48" s="7"/>
    </row>
    <row r="49" spans="1:11">
      <c r="A49" s="4">
        <v>481</v>
      </c>
      <c r="B49" s="18" t="s">
        <v>62</v>
      </c>
      <c r="C49" s="2">
        <v>1250</v>
      </c>
      <c r="D49" s="3">
        <v>134</v>
      </c>
      <c r="E49" s="4">
        <f t="shared" si="0"/>
        <v>1384</v>
      </c>
      <c r="F49" s="3"/>
      <c r="G49" s="5"/>
      <c r="H49" s="4"/>
      <c r="I49" s="2"/>
      <c r="J49" s="6"/>
      <c r="K49" s="7"/>
    </row>
    <row r="50" spans="1:11">
      <c r="A50" s="4">
        <v>485</v>
      </c>
      <c r="B50" s="18" t="s">
        <v>63</v>
      </c>
      <c r="C50" s="2">
        <v>1850</v>
      </c>
      <c r="D50" s="3">
        <v>55</v>
      </c>
      <c r="E50" s="4">
        <f t="shared" si="0"/>
        <v>1905</v>
      </c>
      <c r="F50" s="3"/>
      <c r="G50" s="5"/>
      <c r="H50" s="4"/>
      <c r="I50" s="2"/>
      <c r="J50" s="6"/>
      <c r="K50" s="7"/>
    </row>
    <row r="51" spans="1:11">
      <c r="A51" s="4">
        <v>490</v>
      </c>
      <c r="B51" s="18" t="s">
        <v>64</v>
      </c>
      <c r="C51" s="2">
        <v>1750</v>
      </c>
      <c r="D51" s="3">
        <v>68</v>
      </c>
      <c r="E51" s="4">
        <f t="shared" si="0"/>
        <v>1818</v>
      </c>
      <c r="F51" s="3"/>
      <c r="G51" s="5"/>
      <c r="H51" s="4"/>
      <c r="I51" s="2"/>
      <c r="J51" s="6"/>
      <c r="K51" s="7"/>
    </row>
    <row r="52" spans="1:11">
      <c r="A52" s="4">
        <v>603</v>
      </c>
      <c r="B52" s="18" t="s">
        <v>65</v>
      </c>
      <c r="C52" s="2">
        <v>2913</v>
      </c>
      <c r="D52" s="3">
        <v>0</v>
      </c>
      <c r="E52" s="4">
        <f t="shared" si="0"/>
        <v>2913</v>
      </c>
      <c r="F52" s="3">
        <v>776</v>
      </c>
      <c r="G52" s="5" t="s">
        <v>66</v>
      </c>
      <c r="H52" s="4"/>
      <c r="I52" s="2"/>
      <c r="J52" s="6"/>
      <c r="K52" s="7"/>
    </row>
    <row r="53" spans="1:11">
      <c r="A53" s="4">
        <v>604</v>
      </c>
      <c r="B53" s="18" t="s">
        <v>67</v>
      </c>
      <c r="C53" s="2">
        <v>1690</v>
      </c>
      <c r="D53" s="3">
        <v>76</v>
      </c>
      <c r="E53" s="4">
        <f t="shared" si="0"/>
        <v>1766</v>
      </c>
      <c r="F53" s="3">
        <v>388.2</v>
      </c>
      <c r="G53" s="5" t="s">
        <v>68</v>
      </c>
      <c r="H53" s="4"/>
      <c r="I53" s="2"/>
      <c r="J53" s="6"/>
      <c r="K53" s="7"/>
    </row>
    <row r="54" spans="1:11">
      <c r="A54" s="4">
        <v>605</v>
      </c>
      <c r="B54" s="18" t="s">
        <v>69</v>
      </c>
      <c r="C54" s="2">
        <v>2913</v>
      </c>
      <c r="D54" s="3">
        <v>0</v>
      </c>
      <c r="E54" s="4">
        <f t="shared" si="0"/>
        <v>2913</v>
      </c>
      <c r="F54" s="3">
        <v>776</v>
      </c>
      <c r="G54" s="5" t="s">
        <v>66</v>
      </c>
      <c r="H54" s="4"/>
      <c r="I54" s="2"/>
      <c r="J54" s="6"/>
      <c r="K54" s="7"/>
    </row>
    <row r="55" spans="1:11">
      <c r="A55" s="4">
        <v>606</v>
      </c>
      <c r="B55" s="18" t="s">
        <v>70</v>
      </c>
      <c r="C55" s="2">
        <v>2913</v>
      </c>
      <c r="D55" s="3">
        <v>0</v>
      </c>
      <c r="E55" s="4">
        <f t="shared" si="0"/>
        <v>2913</v>
      </c>
      <c r="F55" s="3"/>
      <c r="G55" s="5"/>
      <c r="H55" s="4"/>
      <c r="I55" s="2"/>
      <c r="J55" s="6"/>
      <c r="K55" s="7"/>
    </row>
    <row r="56" spans="1:11">
      <c r="A56" s="4">
        <v>607</v>
      </c>
      <c r="B56" s="18" t="s">
        <v>71</v>
      </c>
      <c r="C56" s="2">
        <v>1370</v>
      </c>
      <c r="D56" s="3">
        <v>118</v>
      </c>
      <c r="E56" s="4">
        <f t="shared" si="0"/>
        <v>1488</v>
      </c>
      <c r="F56" s="3">
        <v>388</v>
      </c>
      <c r="G56" s="5" t="s">
        <v>68</v>
      </c>
      <c r="H56" s="4"/>
      <c r="I56" s="2"/>
      <c r="J56" s="6"/>
      <c r="K56" s="7"/>
    </row>
    <row r="57" spans="1:11">
      <c r="A57" s="4">
        <v>608</v>
      </c>
      <c r="B57" s="18" t="s">
        <v>72</v>
      </c>
      <c r="C57" s="2">
        <v>2913</v>
      </c>
      <c r="D57" s="3">
        <v>0</v>
      </c>
      <c r="E57" s="4">
        <f t="shared" si="0"/>
        <v>2913</v>
      </c>
      <c r="F57" s="3"/>
      <c r="G57" s="5"/>
      <c r="H57" s="4"/>
      <c r="I57" s="2"/>
      <c r="J57" s="6"/>
      <c r="K57" s="7"/>
    </row>
    <row r="58" spans="1:11">
      <c r="A58" s="4">
        <v>609</v>
      </c>
      <c r="B58" s="18" t="s">
        <v>73</v>
      </c>
      <c r="C58" s="2">
        <v>2000</v>
      </c>
      <c r="D58" s="3">
        <v>36</v>
      </c>
      <c r="E58" s="4">
        <f t="shared" si="0"/>
        <v>2036</v>
      </c>
      <c r="F58" s="3">
        <v>647</v>
      </c>
      <c r="G58" s="5" t="s">
        <v>74</v>
      </c>
      <c r="H58" s="4"/>
      <c r="I58" s="2"/>
      <c r="J58" s="6"/>
      <c r="K58" s="7"/>
    </row>
    <row r="59" spans="1:11" ht="25.5">
      <c r="A59" s="4">
        <v>610</v>
      </c>
      <c r="B59" s="18" t="s">
        <v>75</v>
      </c>
      <c r="C59" s="2">
        <v>1680</v>
      </c>
      <c r="D59" s="3">
        <v>77</v>
      </c>
      <c r="E59" s="4">
        <f t="shared" si="0"/>
        <v>1757</v>
      </c>
      <c r="F59" s="3"/>
      <c r="G59" s="5"/>
      <c r="H59" s="4"/>
      <c r="I59" s="2"/>
      <c r="J59" s="6"/>
      <c r="K59" s="7"/>
    </row>
    <row r="60" spans="1:11">
      <c r="A60" s="4">
        <v>611</v>
      </c>
      <c r="B60" s="18" t="s">
        <v>76</v>
      </c>
      <c r="C60" s="2">
        <v>1840</v>
      </c>
      <c r="D60" s="3">
        <v>57</v>
      </c>
      <c r="E60" s="4">
        <f t="shared" si="0"/>
        <v>1897</v>
      </c>
      <c r="F60" s="3" t="s">
        <v>77</v>
      </c>
      <c r="G60" s="5" t="s">
        <v>77</v>
      </c>
      <c r="H60" s="4"/>
      <c r="I60" s="2"/>
      <c r="J60" s="6"/>
      <c r="K60" s="7"/>
    </row>
    <row r="61" spans="1:11">
      <c r="A61" s="4">
        <v>612</v>
      </c>
      <c r="B61" s="18" t="s">
        <v>78</v>
      </c>
      <c r="C61" s="2">
        <v>1690</v>
      </c>
      <c r="D61" s="3">
        <v>76</v>
      </c>
      <c r="E61" s="4">
        <f t="shared" si="0"/>
        <v>1766</v>
      </c>
      <c r="F61" s="3" t="s">
        <v>79</v>
      </c>
      <c r="G61" s="5" t="s">
        <v>79</v>
      </c>
      <c r="H61" s="4"/>
      <c r="I61" s="2"/>
      <c r="J61" s="6"/>
      <c r="K61" s="7"/>
    </row>
    <row r="62" spans="1:11">
      <c r="A62" s="4">
        <v>613</v>
      </c>
      <c r="B62" s="18" t="s">
        <v>80</v>
      </c>
      <c r="C62" s="2">
        <v>1680</v>
      </c>
      <c r="D62" s="3">
        <v>77</v>
      </c>
      <c r="E62" s="4">
        <f t="shared" si="0"/>
        <v>1757</v>
      </c>
      <c r="F62" s="3" t="s">
        <v>79</v>
      </c>
      <c r="G62" s="5" t="s">
        <v>79</v>
      </c>
      <c r="H62" s="4"/>
      <c r="I62" s="2"/>
      <c r="J62" s="6">
        <v>0</v>
      </c>
      <c r="K62" s="7"/>
    </row>
    <row r="63" spans="1:11">
      <c r="A63" s="4">
        <v>614</v>
      </c>
      <c r="B63" s="18" t="s">
        <v>81</v>
      </c>
      <c r="C63" s="2">
        <v>1740</v>
      </c>
      <c r="D63" s="3">
        <v>75</v>
      </c>
      <c r="E63" s="4">
        <f t="shared" si="0"/>
        <v>1815</v>
      </c>
      <c r="F63" s="3" t="s">
        <v>82</v>
      </c>
      <c r="G63" s="5" t="s">
        <v>82</v>
      </c>
      <c r="H63" s="4"/>
      <c r="I63" s="2"/>
      <c r="J63" s="6"/>
      <c r="K63" s="7"/>
    </row>
    <row r="64" spans="1:11">
      <c r="A64" s="4">
        <v>615</v>
      </c>
      <c r="B64" s="18" t="s">
        <v>83</v>
      </c>
      <c r="C64" s="2">
        <v>1610</v>
      </c>
      <c r="D64" s="3">
        <v>87</v>
      </c>
      <c r="E64" s="4">
        <f t="shared" si="0"/>
        <v>1697</v>
      </c>
      <c r="F64" s="3" t="s">
        <v>68</v>
      </c>
      <c r="G64" s="5" t="s">
        <v>68</v>
      </c>
      <c r="H64" s="4"/>
      <c r="I64" s="2"/>
      <c r="J64" s="6"/>
      <c r="K64" s="7"/>
    </row>
    <row r="65" spans="1:11">
      <c r="A65" s="4">
        <v>616</v>
      </c>
      <c r="B65" s="18" t="s">
        <v>84</v>
      </c>
      <c r="C65" s="2">
        <v>1840</v>
      </c>
      <c r="D65" s="3">
        <v>57</v>
      </c>
      <c r="E65" s="4">
        <f t="shared" si="0"/>
        <v>1897</v>
      </c>
      <c r="F65" s="3"/>
      <c r="G65" s="5" t="s">
        <v>77</v>
      </c>
      <c r="H65" s="4"/>
      <c r="I65" s="2"/>
      <c r="J65" s="6"/>
      <c r="K65" s="7"/>
    </row>
    <row r="66" spans="1:11">
      <c r="A66" s="4">
        <v>617</v>
      </c>
      <c r="B66" s="18" t="s">
        <v>85</v>
      </c>
      <c r="C66" s="2">
        <v>1610</v>
      </c>
      <c r="D66" s="3">
        <v>87</v>
      </c>
      <c r="E66" s="4">
        <f t="shared" si="0"/>
        <v>1697</v>
      </c>
      <c r="F66" s="3"/>
      <c r="G66" s="5" t="s">
        <v>68</v>
      </c>
      <c r="H66" s="4"/>
      <c r="I66" s="2"/>
      <c r="J66" s="6"/>
      <c r="K66" s="7"/>
    </row>
    <row r="67" spans="1:11">
      <c r="A67" s="4">
        <v>618</v>
      </c>
      <c r="B67" s="18" t="s">
        <v>86</v>
      </c>
      <c r="C67" s="2">
        <v>1340</v>
      </c>
      <c r="D67" s="3">
        <v>122</v>
      </c>
      <c r="E67" s="4">
        <f t="shared" ref="E67:E130" si="1">C67+D67</f>
        <v>1462</v>
      </c>
      <c r="F67" s="3"/>
      <c r="G67" s="5" t="s">
        <v>68</v>
      </c>
      <c r="H67" s="4"/>
      <c r="I67" s="2"/>
      <c r="J67" s="6"/>
      <c r="K67" s="7"/>
    </row>
    <row r="68" spans="1:11">
      <c r="A68" s="4">
        <v>619</v>
      </c>
      <c r="B68" s="18" t="s">
        <v>87</v>
      </c>
      <c r="C68" s="2">
        <v>971</v>
      </c>
      <c r="D68" s="3">
        <v>414.7</v>
      </c>
      <c r="E68" s="4">
        <f t="shared" si="1"/>
        <v>1385.7</v>
      </c>
      <c r="F68" s="3"/>
      <c r="G68" s="5"/>
      <c r="H68" s="4"/>
      <c r="I68" s="2"/>
      <c r="J68" s="6"/>
      <c r="K68" s="7"/>
    </row>
    <row r="69" spans="1:11">
      <c r="A69" s="4">
        <v>620</v>
      </c>
      <c r="B69" s="18" t="s">
        <v>88</v>
      </c>
      <c r="C69" s="2">
        <v>1550</v>
      </c>
      <c r="D69" s="3">
        <v>94</v>
      </c>
      <c r="E69" s="4">
        <f t="shared" si="1"/>
        <v>1644</v>
      </c>
      <c r="F69" s="3"/>
      <c r="G69" s="5" t="s">
        <v>68</v>
      </c>
      <c r="H69" s="4"/>
      <c r="I69" s="2"/>
      <c r="J69" s="6"/>
      <c r="K69" s="7"/>
    </row>
    <row r="70" spans="1:11">
      <c r="A70" s="4">
        <v>621</v>
      </c>
      <c r="B70" s="18" t="s">
        <v>89</v>
      </c>
      <c r="C70" s="2">
        <v>1340</v>
      </c>
      <c r="D70" s="3">
        <v>122</v>
      </c>
      <c r="E70" s="4">
        <f t="shared" si="1"/>
        <v>1462</v>
      </c>
      <c r="F70" s="3"/>
      <c r="G70" s="5"/>
      <c r="H70" s="4"/>
      <c r="I70" s="2"/>
      <c r="J70" s="6"/>
      <c r="K70" s="7"/>
    </row>
    <row r="71" spans="1:11">
      <c r="A71" s="4">
        <v>622</v>
      </c>
      <c r="B71" s="18" t="s">
        <v>90</v>
      </c>
      <c r="C71" s="2">
        <v>971</v>
      </c>
      <c r="D71" s="3">
        <v>414.7</v>
      </c>
      <c r="E71" s="4">
        <f t="shared" si="1"/>
        <v>1385.7</v>
      </c>
      <c r="F71" s="3"/>
      <c r="G71" s="5"/>
      <c r="H71" s="4"/>
      <c r="I71" s="2"/>
      <c r="J71" s="6"/>
      <c r="K71" s="7"/>
    </row>
    <row r="72" spans="1:11">
      <c r="A72" s="4">
        <v>624</v>
      </c>
      <c r="B72" s="18" t="s">
        <v>91</v>
      </c>
      <c r="C72" s="2">
        <v>971</v>
      </c>
      <c r="D72" s="3">
        <v>414.7</v>
      </c>
      <c r="E72" s="4">
        <f t="shared" si="1"/>
        <v>1385.7</v>
      </c>
      <c r="F72" s="3"/>
      <c r="G72" s="5"/>
      <c r="H72" s="4"/>
      <c r="I72" s="2"/>
      <c r="J72" s="6"/>
      <c r="K72" s="7"/>
    </row>
    <row r="73" spans="1:11">
      <c r="A73" s="4">
        <v>625</v>
      </c>
      <c r="B73" s="18" t="s">
        <v>92</v>
      </c>
      <c r="C73" s="2">
        <v>1370</v>
      </c>
      <c r="D73" s="3">
        <v>118</v>
      </c>
      <c r="E73" s="4">
        <f t="shared" si="1"/>
        <v>1488</v>
      </c>
      <c r="F73" s="3">
        <v>388</v>
      </c>
      <c r="G73" s="5" t="s">
        <v>68</v>
      </c>
      <c r="H73" s="4"/>
      <c r="I73" s="2"/>
      <c r="J73" s="6"/>
      <c r="K73" s="7"/>
    </row>
    <row r="74" spans="1:11">
      <c r="A74" s="4">
        <v>626</v>
      </c>
      <c r="B74" s="18" t="s">
        <v>93</v>
      </c>
      <c r="C74" s="2">
        <v>1340</v>
      </c>
      <c r="D74" s="3">
        <v>122</v>
      </c>
      <c r="E74" s="4">
        <f t="shared" si="1"/>
        <v>1462</v>
      </c>
      <c r="F74" s="3">
        <v>388</v>
      </c>
      <c r="G74" s="5" t="s">
        <v>68</v>
      </c>
      <c r="H74" s="4"/>
      <c r="I74" s="2"/>
      <c r="J74" s="6"/>
      <c r="K74" s="7"/>
    </row>
    <row r="75" spans="1:11">
      <c r="A75" s="4">
        <v>627</v>
      </c>
      <c r="B75" s="18" t="s">
        <v>94</v>
      </c>
      <c r="C75" s="2">
        <v>1300</v>
      </c>
      <c r="D75" s="3">
        <v>127</v>
      </c>
      <c r="E75" s="4">
        <f t="shared" si="1"/>
        <v>1427</v>
      </c>
      <c r="F75" s="3">
        <v>388</v>
      </c>
      <c r="G75" s="5" t="s">
        <v>68</v>
      </c>
      <c r="H75" s="4"/>
      <c r="I75" s="2"/>
      <c r="J75" s="6"/>
      <c r="K75" s="7"/>
    </row>
    <row r="76" spans="1:11">
      <c r="A76" s="4">
        <v>628</v>
      </c>
      <c r="B76" s="18" t="s">
        <v>95</v>
      </c>
      <c r="C76" s="2">
        <v>980</v>
      </c>
      <c r="D76" s="3">
        <v>169</v>
      </c>
      <c r="E76" s="4">
        <f t="shared" si="1"/>
        <v>1149</v>
      </c>
      <c r="F76" s="3"/>
      <c r="G76" s="5"/>
      <c r="H76" s="4"/>
      <c r="I76" s="2"/>
      <c r="J76" s="6"/>
      <c r="K76" s="7"/>
    </row>
    <row r="77" spans="1:11">
      <c r="A77" s="4">
        <v>629</v>
      </c>
      <c r="B77" s="18" t="s">
        <v>96</v>
      </c>
      <c r="C77" s="2">
        <v>941</v>
      </c>
      <c r="D77" s="3">
        <v>414.7</v>
      </c>
      <c r="E77" s="4">
        <f t="shared" si="1"/>
        <v>1355.7</v>
      </c>
      <c r="F77" s="3"/>
      <c r="G77" s="5"/>
      <c r="H77" s="4"/>
      <c r="I77" s="2"/>
      <c r="J77" s="6"/>
      <c r="K77" s="7"/>
    </row>
    <row r="78" spans="1:11">
      <c r="A78" s="4">
        <v>632</v>
      </c>
      <c r="B78" s="18" t="s">
        <v>40</v>
      </c>
      <c r="C78" s="2">
        <v>941</v>
      </c>
      <c r="D78" s="3">
        <v>414.7</v>
      </c>
      <c r="E78" s="4">
        <f t="shared" si="1"/>
        <v>1355.7</v>
      </c>
      <c r="F78" s="3"/>
      <c r="G78" s="5"/>
      <c r="H78" s="4"/>
      <c r="I78" s="2"/>
      <c r="J78" s="6"/>
      <c r="K78" s="7"/>
    </row>
    <row r="79" spans="1:11">
      <c r="A79" s="4">
        <v>633</v>
      </c>
      <c r="B79" s="18" t="s">
        <v>97</v>
      </c>
      <c r="C79" s="2">
        <v>941</v>
      </c>
      <c r="D79" s="3">
        <v>414.7</v>
      </c>
      <c r="E79" s="4">
        <f t="shared" si="1"/>
        <v>1355.7</v>
      </c>
      <c r="F79" s="3"/>
      <c r="G79" s="5"/>
      <c r="H79" s="4"/>
      <c r="I79" s="2"/>
      <c r="J79" s="6"/>
      <c r="K79" s="7"/>
    </row>
    <row r="80" spans="1:11">
      <c r="A80" s="4">
        <v>634</v>
      </c>
      <c r="B80" s="18" t="s">
        <v>98</v>
      </c>
      <c r="C80" s="2">
        <v>971</v>
      </c>
      <c r="D80" s="3">
        <v>414.7</v>
      </c>
      <c r="E80" s="4">
        <f t="shared" si="1"/>
        <v>1385.7</v>
      </c>
      <c r="F80" s="3"/>
      <c r="G80" s="5"/>
      <c r="H80" s="4"/>
      <c r="I80" s="2"/>
      <c r="J80" s="6"/>
      <c r="K80" s="7"/>
    </row>
    <row r="81" spans="1:11">
      <c r="A81" s="4">
        <v>635</v>
      </c>
      <c r="B81" s="18" t="s">
        <v>99</v>
      </c>
      <c r="C81" s="2">
        <v>1740</v>
      </c>
      <c r="D81" s="3">
        <v>75</v>
      </c>
      <c r="E81" s="4">
        <f t="shared" si="1"/>
        <v>1815</v>
      </c>
      <c r="F81" s="3">
        <v>388</v>
      </c>
      <c r="G81" s="5" t="s">
        <v>68</v>
      </c>
      <c r="H81" s="4"/>
      <c r="I81" s="2"/>
      <c r="J81" s="3"/>
      <c r="K81" s="7"/>
    </row>
    <row r="82" spans="1:11">
      <c r="A82" s="4">
        <v>636</v>
      </c>
      <c r="B82" s="18" t="s">
        <v>100</v>
      </c>
      <c r="C82" s="2">
        <v>971</v>
      </c>
      <c r="D82" s="3">
        <v>414.7</v>
      </c>
      <c r="E82" s="4">
        <f t="shared" si="1"/>
        <v>1385.7</v>
      </c>
      <c r="F82" s="3"/>
      <c r="G82" s="5"/>
      <c r="H82" s="4"/>
      <c r="I82" s="2"/>
      <c r="J82" s="3"/>
      <c r="K82" s="7"/>
    </row>
    <row r="83" spans="1:11">
      <c r="A83" s="4">
        <v>637</v>
      </c>
      <c r="B83" s="18" t="s">
        <v>101</v>
      </c>
      <c r="C83" s="2">
        <v>971</v>
      </c>
      <c r="D83" s="3">
        <v>414.7</v>
      </c>
      <c r="E83" s="4">
        <f t="shared" si="1"/>
        <v>1385.7</v>
      </c>
      <c r="F83" s="3"/>
      <c r="G83" s="5"/>
      <c r="H83" s="4"/>
      <c r="I83" s="2"/>
      <c r="J83" s="3"/>
      <c r="K83" s="7"/>
    </row>
    <row r="84" spans="1:11">
      <c r="A84" s="4">
        <v>639</v>
      </c>
      <c r="B84" s="18" t="s">
        <v>102</v>
      </c>
      <c r="C84" s="2">
        <v>1300</v>
      </c>
      <c r="D84" s="3">
        <v>127</v>
      </c>
      <c r="E84" s="4">
        <f t="shared" si="1"/>
        <v>1427</v>
      </c>
      <c r="F84" s="3"/>
      <c r="G84" s="5"/>
      <c r="H84" s="4"/>
      <c r="I84" s="2"/>
      <c r="J84" s="3"/>
      <c r="K84" s="7"/>
    </row>
    <row r="85" spans="1:11">
      <c r="A85" s="4">
        <v>640</v>
      </c>
      <c r="B85" s="18" t="s">
        <v>103</v>
      </c>
      <c r="C85" s="2">
        <v>1680</v>
      </c>
      <c r="D85" s="3">
        <v>77</v>
      </c>
      <c r="E85" s="4">
        <f t="shared" si="1"/>
        <v>1757</v>
      </c>
      <c r="F85" s="3">
        <v>453</v>
      </c>
      <c r="G85" s="5" t="s">
        <v>79</v>
      </c>
      <c r="H85" s="4"/>
      <c r="I85" s="2"/>
      <c r="J85" s="3"/>
      <c r="K85" s="7"/>
    </row>
    <row r="86" spans="1:11">
      <c r="A86" s="4">
        <v>641</v>
      </c>
      <c r="B86" s="18" t="s">
        <v>104</v>
      </c>
      <c r="C86" s="2">
        <v>1300</v>
      </c>
      <c r="D86" s="3">
        <v>127</v>
      </c>
      <c r="E86" s="4">
        <f t="shared" si="1"/>
        <v>1427</v>
      </c>
      <c r="F86" s="3">
        <v>388</v>
      </c>
      <c r="G86" s="5" t="s">
        <v>68</v>
      </c>
      <c r="H86" s="4"/>
      <c r="I86" s="2"/>
      <c r="J86" s="3"/>
      <c r="K86" s="7"/>
    </row>
    <row r="87" spans="1:11" ht="25.5">
      <c r="A87" s="4">
        <v>642</v>
      </c>
      <c r="B87" s="18" t="s">
        <v>105</v>
      </c>
      <c r="C87" s="2">
        <v>2913</v>
      </c>
      <c r="D87" s="3">
        <v>0</v>
      </c>
      <c r="E87" s="4">
        <f t="shared" si="1"/>
        <v>2913</v>
      </c>
      <c r="F87" s="3">
        <v>776</v>
      </c>
      <c r="G87" s="5" t="s">
        <v>66</v>
      </c>
      <c r="H87" s="4"/>
      <c r="I87" s="2"/>
      <c r="J87" s="3"/>
      <c r="K87" s="7"/>
    </row>
    <row r="88" spans="1:11">
      <c r="A88" s="4">
        <v>643</v>
      </c>
      <c r="B88" s="18" t="s">
        <v>106</v>
      </c>
      <c r="C88" s="2">
        <v>1500</v>
      </c>
      <c r="D88" s="3">
        <v>101</v>
      </c>
      <c r="E88" s="4">
        <f t="shared" si="1"/>
        <v>1601</v>
      </c>
      <c r="F88" s="3">
        <v>388</v>
      </c>
      <c r="G88" s="5" t="s">
        <v>68</v>
      </c>
      <c r="H88" s="4"/>
      <c r="I88" s="2"/>
      <c r="J88" s="3"/>
      <c r="K88" s="7"/>
    </row>
    <row r="89" spans="1:11">
      <c r="A89" s="4">
        <v>644</v>
      </c>
      <c r="B89" s="18" t="s">
        <v>107</v>
      </c>
      <c r="C89" s="2">
        <v>971</v>
      </c>
      <c r="D89" s="3">
        <v>414.7</v>
      </c>
      <c r="E89" s="4">
        <f t="shared" si="1"/>
        <v>1385.7</v>
      </c>
      <c r="F89" s="3"/>
      <c r="G89" s="5"/>
      <c r="H89" s="4"/>
      <c r="I89" s="2"/>
      <c r="J89" s="3"/>
      <c r="K89" s="7"/>
    </row>
    <row r="90" spans="1:11">
      <c r="A90" s="4">
        <v>645</v>
      </c>
      <c r="B90" s="18" t="s">
        <v>108</v>
      </c>
      <c r="C90" s="2">
        <v>2329</v>
      </c>
      <c r="D90" s="3">
        <v>0</v>
      </c>
      <c r="E90" s="4">
        <f t="shared" si="1"/>
        <v>2329</v>
      </c>
      <c r="F90" s="3"/>
      <c r="G90" s="5"/>
      <c r="H90" s="4"/>
      <c r="I90" s="2"/>
      <c r="J90" s="3"/>
      <c r="K90" s="7"/>
    </row>
    <row r="91" spans="1:11">
      <c r="A91" s="4">
        <v>646</v>
      </c>
      <c r="B91" s="18" t="s">
        <v>109</v>
      </c>
      <c r="C91" s="2">
        <v>906</v>
      </c>
      <c r="D91" s="3">
        <v>414.7</v>
      </c>
      <c r="E91" s="4">
        <f t="shared" si="1"/>
        <v>1320.7</v>
      </c>
      <c r="F91" s="3"/>
      <c r="G91" s="5"/>
      <c r="H91" s="4"/>
      <c r="I91" s="2"/>
      <c r="J91" s="3"/>
      <c r="K91" s="7"/>
    </row>
    <row r="92" spans="1:11">
      <c r="A92" s="4">
        <v>647</v>
      </c>
      <c r="B92" s="18" t="s">
        <v>110</v>
      </c>
      <c r="C92" s="2">
        <v>1830</v>
      </c>
      <c r="D92" s="3">
        <v>58</v>
      </c>
      <c r="E92" s="4">
        <f t="shared" si="1"/>
        <v>1888</v>
      </c>
      <c r="F92" s="3"/>
      <c r="G92" s="5"/>
      <c r="H92" s="4"/>
      <c r="I92" s="2"/>
      <c r="J92" s="3"/>
      <c r="K92" s="7"/>
    </row>
    <row r="93" spans="1:11">
      <c r="A93" s="4">
        <v>648</v>
      </c>
      <c r="B93" s="18" t="s">
        <v>111</v>
      </c>
      <c r="C93" s="2">
        <v>2000</v>
      </c>
      <c r="D93" s="3">
        <v>36</v>
      </c>
      <c r="E93" s="4">
        <f t="shared" si="1"/>
        <v>2036</v>
      </c>
      <c r="F93" s="3">
        <v>518</v>
      </c>
      <c r="G93" s="5" t="s">
        <v>82</v>
      </c>
      <c r="H93" s="4"/>
      <c r="I93" s="2"/>
      <c r="J93" s="3"/>
      <c r="K93" s="7"/>
    </row>
    <row r="94" spans="1:11">
      <c r="A94" s="4">
        <v>649</v>
      </c>
      <c r="B94" s="18" t="s">
        <v>112</v>
      </c>
      <c r="C94" s="2">
        <v>971</v>
      </c>
      <c r="D94" s="3">
        <v>414.7</v>
      </c>
      <c r="E94" s="4">
        <f t="shared" si="1"/>
        <v>1385.7</v>
      </c>
      <c r="F94" s="3"/>
      <c r="G94" s="5"/>
      <c r="H94" s="4"/>
      <c r="I94" s="2"/>
      <c r="J94" s="3"/>
      <c r="K94" s="7"/>
    </row>
    <row r="95" spans="1:11">
      <c r="A95" s="4">
        <v>650</v>
      </c>
      <c r="B95" s="18" t="s">
        <v>113</v>
      </c>
      <c r="C95" s="2">
        <v>1740</v>
      </c>
      <c r="D95" s="3">
        <v>75</v>
      </c>
      <c r="E95" s="4">
        <f t="shared" si="1"/>
        <v>1815</v>
      </c>
      <c r="F95" s="3"/>
      <c r="G95" s="5"/>
      <c r="H95" s="4"/>
      <c r="I95" s="2">
        <v>750</v>
      </c>
      <c r="J95" s="3"/>
      <c r="K95" s="7"/>
    </row>
    <row r="96" spans="1:11">
      <c r="A96" s="4">
        <v>651</v>
      </c>
      <c r="B96" s="18" t="s">
        <v>114</v>
      </c>
      <c r="C96" s="2">
        <v>971</v>
      </c>
      <c r="D96" s="3">
        <v>414.7</v>
      </c>
      <c r="E96" s="4">
        <f t="shared" si="1"/>
        <v>1385.7</v>
      </c>
      <c r="F96" s="3"/>
      <c r="G96" s="5"/>
      <c r="H96" s="4"/>
      <c r="I96" s="2"/>
      <c r="J96" s="3"/>
      <c r="K96" s="7"/>
    </row>
    <row r="97" spans="1:11">
      <c r="A97" s="4">
        <v>652</v>
      </c>
      <c r="B97" s="18" t="s">
        <v>115</v>
      </c>
      <c r="C97" s="2">
        <v>1250</v>
      </c>
      <c r="D97" s="3">
        <v>134</v>
      </c>
      <c r="E97" s="4">
        <f t="shared" si="1"/>
        <v>1384</v>
      </c>
      <c r="F97" s="3"/>
      <c r="G97" s="5"/>
      <c r="H97" s="4"/>
      <c r="I97" s="2">
        <v>496</v>
      </c>
      <c r="J97" s="3"/>
      <c r="K97" s="7"/>
    </row>
    <row r="98" spans="1:11" ht="25.5">
      <c r="A98" s="4">
        <v>653</v>
      </c>
      <c r="B98" s="18" t="s">
        <v>116</v>
      </c>
      <c r="C98" s="2">
        <v>1400</v>
      </c>
      <c r="D98" s="3">
        <v>114</v>
      </c>
      <c r="E98" s="4">
        <f t="shared" si="1"/>
        <v>1514</v>
      </c>
      <c r="F98" s="3">
        <v>388</v>
      </c>
      <c r="G98" s="5" t="s">
        <v>68</v>
      </c>
      <c r="H98" s="4"/>
      <c r="I98" s="2">
        <v>100</v>
      </c>
      <c r="J98" s="3"/>
      <c r="K98" s="7"/>
    </row>
    <row r="99" spans="1:11">
      <c r="A99" s="4">
        <v>654</v>
      </c>
      <c r="B99" s="18" t="s">
        <v>117</v>
      </c>
      <c r="C99" s="2">
        <v>1690</v>
      </c>
      <c r="D99" s="3">
        <v>76</v>
      </c>
      <c r="E99" s="4">
        <f t="shared" si="1"/>
        <v>1766</v>
      </c>
      <c r="F99" s="3">
        <v>453</v>
      </c>
      <c r="G99" s="5" t="s">
        <v>79</v>
      </c>
      <c r="H99" s="4"/>
      <c r="I99" s="2">
        <v>300</v>
      </c>
      <c r="J99" s="3"/>
      <c r="K99" s="7"/>
    </row>
    <row r="100" spans="1:11" ht="25.5">
      <c r="A100" s="4">
        <v>655</v>
      </c>
      <c r="B100" s="18" t="s">
        <v>118</v>
      </c>
      <c r="C100" s="2">
        <v>1550</v>
      </c>
      <c r="D100" s="3">
        <v>94</v>
      </c>
      <c r="E100" s="4">
        <f t="shared" si="1"/>
        <v>1644</v>
      </c>
      <c r="F100" s="3">
        <v>388</v>
      </c>
      <c r="G100" s="5" t="s">
        <v>68</v>
      </c>
      <c r="H100" s="4"/>
      <c r="I100" s="2">
        <v>200</v>
      </c>
      <c r="J100" s="3"/>
      <c r="K100" s="7"/>
    </row>
    <row r="101" spans="1:11">
      <c r="A101" s="4">
        <v>656</v>
      </c>
      <c r="B101" s="18" t="s">
        <v>119</v>
      </c>
      <c r="C101" s="2">
        <v>971</v>
      </c>
      <c r="D101" s="3">
        <v>414.7</v>
      </c>
      <c r="E101" s="4">
        <f t="shared" si="1"/>
        <v>1385.7</v>
      </c>
      <c r="F101" s="3"/>
      <c r="G101" s="5"/>
      <c r="H101" s="4"/>
      <c r="I101" s="2"/>
      <c r="J101" s="3"/>
      <c r="K101" s="7"/>
    </row>
    <row r="102" spans="1:11">
      <c r="A102" s="4">
        <v>658</v>
      </c>
      <c r="B102" s="18" t="s">
        <v>120</v>
      </c>
      <c r="C102" s="2">
        <v>1300</v>
      </c>
      <c r="D102" s="3">
        <v>127</v>
      </c>
      <c r="E102" s="4">
        <f t="shared" si="1"/>
        <v>1427</v>
      </c>
      <c r="F102" s="3">
        <v>388</v>
      </c>
      <c r="G102" s="5" t="s">
        <v>68</v>
      </c>
      <c r="H102" s="4"/>
      <c r="I102" s="2"/>
      <c r="J102" s="3"/>
      <c r="K102" s="7"/>
    </row>
    <row r="103" spans="1:11">
      <c r="A103" s="4">
        <v>659</v>
      </c>
      <c r="B103" s="18" t="s">
        <v>121</v>
      </c>
      <c r="C103" s="2">
        <v>1340</v>
      </c>
      <c r="D103" s="3">
        <v>122</v>
      </c>
      <c r="E103" s="4">
        <f t="shared" si="1"/>
        <v>1462</v>
      </c>
      <c r="F103" s="3"/>
      <c r="G103" s="5"/>
      <c r="H103" s="4"/>
      <c r="I103" s="2"/>
      <c r="J103" s="3"/>
      <c r="K103" s="7"/>
    </row>
    <row r="104" spans="1:11" ht="25.5">
      <c r="A104" s="4">
        <v>667</v>
      </c>
      <c r="B104" s="18" t="s">
        <v>122</v>
      </c>
      <c r="C104" s="2">
        <v>2000</v>
      </c>
      <c r="D104" s="3">
        <v>36</v>
      </c>
      <c r="E104" s="4">
        <f t="shared" si="1"/>
        <v>2036</v>
      </c>
      <c r="F104" s="3">
        <v>647</v>
      </c>
      <c r="G104" s="5" t="s">
        <v>74</v>
      </c>
      <c r="H104" s="4"/>
      <c r="I104" s="2">
        <v>830</v>
      </c>
      <c r="J104" s="3"/>
      <c r="K104" s="7"/>
    </row>
    <row r="105" spans="1:11" ht="25.5">
      <c r="A105" s="4">
        <v>668</v>
      </c>
      <c r="B105" s="18" t="s">
        <v>123</v>
      </c>
      <c r="C105" s="2">
        <v>1840</v>
      </c>
      <c r="D105" s="3">
        <v>57</v>
      </c>
      <c r="E105" s="4">
        <f t="shared" si="1"/>
        <v>1897</v>
      </c>
      <c r="F105" s="3">
        <v>582</v>
      </c>
      <c r="G105" s="5" t="s">
        <v>77</v>
      </c>
      <c r="H105" s="4"/>
      <c r="I105" s="2">
        <v>830</v>
      </c>
      <c r="J105" s="3"/>
      <c r="K105" s="7"/>
    </row>
    <row r="106" spans="1:11" ht="25.5">
      <c r="A106" s="4">
        <v>669</v>
      </c>
      <c r="B106" s="18" t="s">
        <v>124</v>
      </c>
      <c r="C106" s="2">
        <v>1680</v>
      </c>
      <c r="D106" s="3">
        <v>77</v>
      </c>
      <c r="E106" s="4">
        <f t="shared" si="1"/>
        <v>1757</v>
      </c>
      <c r="F106" s="3" t="s">
        <v>79</v>
      </c>
      <c r="G106" s="5" t="s">
        <v>79</v>
      </c>
      <c r="H106" s="4"/>
      <c r="I106" s="2">
        <v>830</v>
      </c>
      <c r="J106" s="3"/>
      <c r="K106" s="7"/>
    </row>
    <row r="107" spans="1:11" ht="25.5">
      <c r="A107" s="4">
        <v>670</v>
      </c>
      <c r="B107" s="18" t="s">
        <v>125</v>
      </c>
      <c r="C107" s="2">
        <v>1740</v>
      </c>
      <c r="D107" s="3">
        <v>75</v>
      </c>
      <c r="E107" s="4">
        <f t="shared" si="1"/>
        <v>1815</v>
      </c>
      <c r="F107" s="3" t="s">
        <v>82</v>
      </c>
      <c r="G107" s="5" t="s">
        <v>82</v>
      </c>
      <c r="H107" s="4"/>
      <c r="I107" s="2">
        <v>750</v>
      </c>
      <c r="J107" s="3"/>
      <c r="K107" s="7"/>
    </row>
    <row r="108" spans="1:11" ht="25.5">
      <c r="A108" s="4">
        <v>671</v>
      </c>
      <c r="B108" s="18" t="s">
        <v>126</v>
      </c>
      <c r="C108" s="2">
        <v>1610</v>
      </c>
      <c r="D108" s="3">
        <v>87</v>
      </c>
      <c r="E108" s="4">
        <f t="shared" si="1"/>
        <v>1697</v>
      </c>
      <c r="F108" s="3" t="s">
        <v>68</v>
      </c>
      <c r="G108" s="5" t="s">
        <v>68</v>
      </c>
      <c r="H108" s="4"/>
      <c r="I108" s="2">
        <v>750</v>
      </c>
      <c r="J108" s="3"/>
      <c r="K108" s="7"/>
    </row>
    <row r="109" spans="1:11" ht="25.5">
      <c r="A109" s="4">
        <v>675</v>
      </c>
      <c r="B109" s="18" t="s">
        <v>127</v>
      </c>
      <c r="C109" s="2">
        <v>1740</v>
      </c>
      <c r="D109" s="3">
        <v>75</v>
      </c>
      <c r="E109" s="4">
        <f t="shared" si="1"/>
        <v>1815</v>
      </c>
      <c r="F109" s="3">
        <v>517</v>
      </c>
      <c r="G109" s="5" t="s">
        <v>128</v>
      </c>
      <c r="H109" s="4"/>
      <c r="I109" s="2">
        <v>725</v>
      </c>
      <c r="J109" s="3"/>
      <c r="K109" s="7"/>
    </row>
    <row r="110" spans="1:11" ht="25.5">
      <c r="A110" s="4">
        <v>676</v>
      </c>
      <c r="B110" s="18" t="s">
        <v>129</v>
      </c>
      <c r="C110" s="2">
        <v>1610</v>
      </c>
      <c r="D110" s="3">
        <v>87</v>
      </c>
      <c r="E110" s="4">
        <f t="shared" si="1"/>
        <v>1697</v>
      </c>
      <c r="F110" s="3">
        <v>388</v>
      </c>
      <c r="G110" s="5" t="s">
        <v>68</v>
      </c>
      <c r="H110" s="4"/>
      <c r="I110" s="2">
        <v>725</v>
      </c>
      <c r="J110" s="3"/>
      <c r="K110" s="7"/>
    </row>
    <row r="111" spans="1:11" ht="25.5">
      <c r="A111" s="4">
        <v>677</v>
      </c>
      <c r="B111" s="18" t="s">
        <v>130</v>
      </c>
      <c r="C111" s="2">
        <v>1500</v>
      </c>
      <c r="D111" s="3">
        <v>101</v>
      </c>
      <c r="E111" s="4">
        <f t="shared" si="1"/>
        <v>1601</v>
      </c>
      <c r="F111" s="3">
        <v>388</v>
      </c>
      <c r="G111" s="5" t="s">
        <v>68</v>
      </c>
      <c r="H111" s="4"/>
      <c r="I111" s="2">
        <v>725</v>
      </c>
      <c r="J111" s="3"/>
      <c r="K111" s="7"/>
    </row>
    <row r="112" spans="1:11">
      <c r="A112" s="4">
        <v>678</v>
      </c>
      <c r="B112" s="18" t="s">
        <v>131</v>
      </c>
      <c r="C112" s="2">
        <v>1320</v>
      </c>
      <c r="D112" s="3">
        <v>124</v>
      </c>
      <c r="E112" s="4">
        <f t="shared" si="1"/>
        <v>1444</v>
      </c>
      <c r="F112" s="3"/>
      <c r="G112" s="5"/>
      <c r="H112" s="4"/>
      <c r="I112" s="2">
        <v>590</v>
      </c>
      <c r="J112" s="3"/>
      <c r="K112" s="7"/>
    </row>
    <row r="113" spans="1:11" ht="25.5">
      <c r="A113" s="4">
        <v>679</v>
      </c>
      <c r="B113" s="18" t="s">
        <v>132</v>
      </c>
      <c r="C113" s="2">
        <v>1690</v>
      </c>
      <c r="D113" s="3">
        <v>76</v>
      </c>
      <c r="E113" s="4">
        <f t="shared" si="1"/>
        <v>1766</v>
      </c>
      <c r="F113" s="3"/>
      <c r="G113" s="5"/>
      <c r="H113" s="4"/>
      <c r="I113" s="2">
        <v>708</v>
      </c>
      <c r="J113" s="3"/>
      <c r="K113" s="7"/>
    </row>
    <row r="114" spans="1:11" ht="25.5">
      <c r="A114" s="4">
        <v>684</v>
      </c>
      <c r="B114" s="18" t="s">
        <v>133</v>
      </c>
      <c r="C114" s="2">
        <v>1170</v>
      </c>
      <c r="D114" s="3">
        <v>144</v>
      </c>
      <c r="E114" s="4">
        <f t="shared" si="1"/>
        <v>1314</v>
      </c>
      <c r="F114" s="3"/>
      <c r="G114" s="5"/>
      <c r="H114" s="4"/>
      <c r="I114" s="2">
        <v>580</v>
      </c>
      <c r="J114" s="3"/>
      <c r="K114" s="7"/>
    </row>
    <row r="115" spans="1:11" ht="25.5">
      <c r="A115" s="4">
        <v>686</v>
      </c>
      <c r="B115" s="18" t="s">
        <v>134</v>
      </c>
      <c r="C115" s="2">
        <v>2000</v>
      </c>
      <c r="D115" s="3">
        <v>36</v>
      </c>
      <c r="E115" s="4">
        <f t="shared" si="1"/>
        <v>2036</v>
      </c>
      <c r="F115" s="3">
        <v>647</v>
      </c>
      <c r="G115" s="5" t="s">
        <v>74</v>
      </c>
      <c r="H115" s="4"/>
      <c r="I115" s="2">
        <v>830</v>
      </c>
      <c r="J115" s="3"/>
      <c r="K115" s="7"/>
    </row>
    <row r="116" spans="1:11" ht="25.5">
      <c r="A116" s="4">
        <v>687</v>
      </c>
      <c r="B116" s="18" t="s">
        <v>135</v>
      </c>
      <c r="C116" s="2">
        <v>1840</v>
      </c>
      <c r="D116" s="3">
        <v>57</v>
      </c>
      <c r="E116" s="4">
        <f t="shared" si="1"/>
        <v>1897</v>
      </c>
      <c r="F116" s="3">
        <v>582</v>
      </c>
      <c r="G116" s="5" t="s">
        <v>77</v>
      </c>
      <c r="H116" s="4"/>
      <c r="I116" s="2">
        <v>600</v>
      </c>
      <c r="J116" s="3"/>
      <c r="K116" s="7"/>
    </row>
    <row r="117" spans="1:11" ht="25.5">
      <c r="A117" s="4">
        <v>688</v>
      </c>
      <c r="B117" s="18" t="s">
        <v>136</v>
      </c>
      <c r="C117" s="2">
        <v>1680</v>
      </c>
      <c r="D117" s="3">
        <v>77</v>
      </c>
      <c r="E117" s="4">
        <f t="shared" si="1"/>
        <v>1757</v>
      </c>
      <c r="F117" s="3" t="s">
        <v>79</v>
      </c>
      <c r="G117" s="5" t="s">
        <v>79</v>
      </c>
      <c r="H117" s="4"/>
      <c r="I117" s="2">
        <v>830</v>
      </c>
      <c r="J117" s="3"/>
      <c r="K117" s="7"/>
    </row>
    <row r="118" spans="1:11">
      <c r="A118" s="4">
        <v>691</v>
      </c>
      <c r="B118" s="18" t="s">
        <v>137</v>
      </c>
      <c r="C118" s="2">
        <v>1500</v>
      </c>
      <c r="D118" s="3">
        <v>101</v>
      </c>
      <c r="E118" s="4">
        <f t="shared" si="1"/>
        <v>1601</v>
      </c>
      <c r="F118" s="3"/>
      <c r="G118" s="5"/>
      <c r="H118" s="4"/>
      <c r="I118" s="2">
        <v>750</v>
      </c>
      <c r="J118" s="3"/>
      <c r="K118" s="7"/>
    </row>
    <row r="119" spans="1:11">
      <c r="A119" s="4">
        <v>692</v>
      </c>
      <c r="B119" s="18" t="s">
        <v>138</v>
      </c>
      <c r="C119" s="2">
        <v>1680</v>
      </c>
      <c r="D119" s="3">
        <v>77</v>
      </c>
      <c r="E119" s="4">
        <f t="shared" si="1"/>
        <v>1757</v>
      </c>
      <c r="F119" s="3" t="s">
        <v>79</v>
      </c>
      <c r="G119" s="5" t="s">
        <v>79</v>
      </c>
      <c r="H119" s="4"/>
      <c r="I119" s="2"/>
      <c r="J119" s="3"/>
      <c r="K119" s="7"/>
    </row>
    <row r="120" spans="1:11">
      <c r="A120" s="4">
        <v>693</v>
      </c>
      <c r="B120" s="18" t="s">
        <v>139</v>
      </c>
      <c r="C120" s="2">
        <v>1500</v>
      </c>
      <c r="D120" s="3">
        <v>101</v>
      </c>
      <c r="E120" s="4">
        <f t="shared" si="1"/>
        <v>1601</v>
      </c>
      <c r="F120" s="3" t="s">
        <v>79</v>
      </c>
      <c r="G120" s="5" t="s">
        <v>79</v>
      </c>
      <c r="H120" s="4"/>
      <c r="I120" s="2"/>
      <c r="J120" s="3"/>
      <c r="K120" s="7"/>
    </row>
    <row r="121" spans="1:11">
      <c r="A121" s="4">
        <v>694</v>
      </c>
      <c r="B121" s="18" t="s">
        <v>140</v>
      </c>
      <c r="C121" s="2">
        <v>1300</v>
      </c>
      <c r="D121" s="3">
        <v>127</v>
      </c>
      <c r="E121" s="4">
        <f t="shared" si="1"/>
        <v>1427</v>
      </c>
      <c r="F121" s="3" t="s">
        <v>79</v>
      </c>
      <c r="G121" s="5" t="s">
        <v>79</v>
      </c>
      <c r="H121" s="4"/>
      <c r="I121" s="2"/>
      <c r="J121" s="3"/>
      <c r="K121" s="7"/>
    </row>
    <row r="122" spans="1:11">
      <c r="A122" s="4">
        <v>696</v>
      </c>
      <c r="B122" s="18" t="s">
        <v>141</v>
      </c>
      <c r="C122" s="2">
        <v>1500</v>
      </c>
      <c r="D122" s="3">
        <v>101</v>
      </c>
      <c r="E122" s="4">
        <f t="shared" si="1"/>
        <v>1601</v>
      </c>
      <c r="F122" s="3" t="s">
        <v>79</v>
      </c>
      <c r="G122" s="5" t="s">
        <v>79</v>
      </c>
      <c r="H122" s="4"/>
      <c r="I122" s="2"/>
      <c r="J122" s="3"/>
      <c r="K122" s="7"/>
    </row>
    <row r="123" spans="1:11" ht="25.5">
      <c r="A123" s="4">
        <v>702</v>
      </c>
      <c r="B123" s="18" t="s">
        <v>142</v>
      </c>
      <c r="C123" s="2">
        <v>1400</v>
      </c>
      <c r="D123" s="3">
        <v>114</v>
      </c>
      <c r="E123" s="4">
        <f t="shared" si="1"/>
        <v>1514</v>
      </c>
      <c r="F123" s="3">
        <v>310</v>
      </c>
      <c r="G123" s="5" t="s">
        <v>68</v>
      </c>
      <c r="H123" s="4">
        <v>17</v>
      </c>
      <c r="I123" s="2"/>
      <c r="J123" s="3"/>
      <c r="K123" s="7"/>
    </row>
    <row r="124" spans="1:11" ht="25.5">
      <c r="A124" s="4">
        <v>703</v>
      </c>
      <c r="B124" s="18" t="s">
        <v>143</v>
      </c>
      <c r="C124" s="2">
        <v>1400</v>
      </c>
      <c r="D124" s="3">
        <v>114</v>
      </c>
      <c r="E124" s="4">
        <f t="shared" si="1"/>
        <v>1514</v>
      </c>
      <c r="F124" s="3">
        <v>310</v>
      </c>
      <c r="G124" s="5" t="s">
        <v>68</v>
      </c>
      <c r="H124" s="4">
        <v>17</v>
      </c>
      <c r="I124" s="2">
        <v>211</v>
      </c>
      <c r="J124" s="3"/>
      <c r="K124" s="7"/>
    </row>
    <row r="125" spans="1:11" ht="25.5">
      <c r="A125" s="4">
        <v>704</v>
      </c>
      <c r="B125" s="18" t="s">
        <v>144</v>
      </c>
      <c r="C125" s="2">
        <v>1300</v>
      </c>
      <c r="D125" s="3">
        <v>127</v>
      </c>
      <c r="E125" s="4">
        <f t="shared" si="1"/>
        <v>1427</v>
      </c>
      <c r="F125" s="3">
        <v>310</v>
      </c>
      <c r="G125" s="5" t="s">
        <v>68</v>
      </c>
      <c r="H125" s="4">
        <v>17</v>
      </c>
      <c r="I125" s="2"/>
      <c r="J125" s="3"/>
      <c r="K125" s="7"/>
    </row>
    <row r="126" spans="1:11" ht="25.5">
      <c r="A126" s="4">
        <v>705</v>
      </c>
      <c r="B126" s="18" t="s">
        <v>145</v>
      </c>
      <c r="C126" s="2">
        <v>1300</v>
      </c>
      <c r="D126" s="3">
        <v>127</v>
      </c>
      <c r="E126" s="4">
        <f t="shared" si="1"/>
        <v>1427</v>
      </c>
      <c r="F126" s="3">
        <v>310</v>
      </c>
      <c r="G126" s="5" t="s">
        <v>68</v>
      </c>
      <c r="H126" s="4">
        <v>17</v>
      </c>
      <c r="I126" s="2">
        <v>211</v>
      </c>
      <c r="J126" s="3"/>
      <c r="K126" s="7"/>
    </row>
    <row r="127" spans="1:11" ht="25.5">
      <c r="A127" s="4">
        <v>706</v>
      </c>
      <c r="B127" s="18" t="s">
        <v>146</v>
      </c>
      <c r="C127" s="2">
        <v>1250</v>
      </c>
      <c r="D127" s="3">
        <v>134</v>
      </c>
      <c r="E127" s="4">
        <f t="shared" si="1"/>
        <v>1384</v>
      </c>
      <c r="F127" s="3">
        <v>310</v>
      </c>
      <c r="G127" s="5" t="s">
        <v>68</v>
      </c>
      <c r="H127" s="4">
        <v>17</v>
      </c>
      <c r="I127" s="2"/>
      <c r="J127" s="3"/>
      <c r="K127" s="7"/>
    </row>
    <row r="128" spans="1:11">
      <c r="A128" s="4">
        <v>707</v>
      </c>
      <c r="B128" s="18" t="s">
        <v>147</v>
      </c>
      <c r="C128" s="2">
        <v>2913</v>
      </c>
      <c r="D128" s="3">
        <v>0</v>
      </c>
      <c r="E128" s="4">
        <f t="shared" si="1"/>
        <v>2913</v>
      </c>
      <c r="F128" s="3">
        <v>776</v>
      </c>
      <c r="G128" s="5" t="s">
        <v>66</v>
      </c>
      <c r="H128" s="4"/>
      <c r="I128" s="2"/>
      <c r="J128" s="3"/>
      <c r="K128" s="7"/>
    </row>
    <row r="129" spans="1:11">
      <c r="A129" s="4">
        <v>708</v>
      </c>
      <c r="B129" s="18" t="s">
        <v>148</v>
      </c>
      <c r="C129" s="2">
        <v>3146</v>
      </c>
      <c r="D129" s="3">
        <v>0</v>
      </c>
      <c r="E129" s="4">
        <f t="shared" si="1"/>
        <v>3146</v>
      </c>
      <c r="F129" s="3">
        <v>776</v>
      </c>
      <c r="G129" s="5" t="s">
        <v>66</v>
      </c>
      <c r="H129" s="4"/>
      <c r="I129" s="2"/>
      <c r="J129" s="3"/>
      <c r="K129" s="7"/>
    </row>
    <row r="130" spans="1:11">
      <c r="A130" s="4">
        <v>709</v>
      </c>
      <c r="B130" s="18" t="s">
        <v>149</v>
      </c>
      <c r="C130" s="2">
        <v>2913</v>
      </c>
      <c r="D130" s="3">
        <v>0</v>
      </c>
      <c r="E130" s="4">
        <f t="shared" si="1"/>
        <v>2913</v>
      </c>
      <c r="F130" s="3">
        <v>776</v>
      </c>
      <c r="G130" s="5" t="s">
        <v>66</v>
      </c>
      <c r="H130" s="4"/>
      <c r="I130" s="2"/>
      <c r="J130" s="3"/>
      <c r="K130" s="7"/>
    </row>
    <row r="131" spans="1:11">
      <c r="A131" s="4">
        <v>710</v>
      </c>
      <c r="B131" s="18" t="s">
        <v>150</v>
      </c>
      <c r="C131" s="2">
        <v>2913</v>
      </c>
      <c r="D131" s="3">
        <v>0</v>
      </c>
      <c r="E131" s="4">
        <f t="shared" ref="E131:E171" si="2">C131+D131</f>
        <v>2913</v>
      </c>
      <c r="F131" s="3">
        <v>776</v>
      </c>
      <c r="G131" s="5" t="s">
        <v>66</v>
      </c>
      <c r="H131" s="4">
        <v>20</v>
      </c>
      <c r="I131" s="2"/>
      <c r="J131" s="3"/>
      <c r="K131" s="7"/>
    </row>
    <row r="132" spans="1:11">
      <c r="A132" s="4">
        <v>711</v>
      </c>
      <c r="B132" s="18" t="s">
        <v>151</v>
      </c>
      <c r="C132" s="2">
        <v>2913</v>
      </c>
      <c r="D132" s="3">
        <v>0</v>
      </c>
      <c r="E132" s="4">
        <f t="shared" si="2"/>
        <v>2913</v>
      </c>
      <c r="F132" s="3">
        <v>776</v>
      </c>
      <c r="G132" s="5" t="s">
        <v>66</v>
      </c>
      <c r="H132" s="4"/>
      <c r="I132" s="2"/>
      <c r="J132" s="3"/>
      <c r="K132" s="7"/>
    </row>
    <row r="133" spans="1:11">
      <c r="A133" s="4">
        <v>712</v>
      </c>
      <c r="B133" s="18" t="s">
        <v>152</v>
      </c>
      <c r="C133" s="2">
        <v>2913</v>
      </c>
      <c r="D133" s="3">
        <v>0</v>
      </c>
      <c r="E133" s="4">
        <f t="shared" si="2"/>
        <v>2913</v>
      </c>
      <c r="F133" s="3">
        <v>776</v>
      </c>
      <c r="G133" s="5" t="s">
        <v>66</v>
      </c>
      <c r="H133" s="4"/>
      <c r="I133" s="2"/>
      <c r="J133" s="3"/>
      <c r="K133" s="7"/>
    </row>
    <row r="134" spans="1:11">
      <c r="A134" s="4">
        <v>713</v>
      </c>
      <c r="B134" s="18" t="s">
        <v>153</v>
      </c>
      <c r="C134" s="2">
        <v>2913</v>
      </c>
      <c r="D134" s="3">
        <v>0</v>
      </c>
      <c r="E134" s="4">
        <f t="shared" si="2"/>
        <v>2913</v>
      </c>
      <c r="F134" s="3">
        <v>776</v>
      </c>
      <c r="G134" s="5" t="s">
        <v>66</v>
      </c>
      <c r="H134" s="4"/>
      <c r="I134" s="2"/>
      <c r="J134" s="3"/>
      <c r="K134" s="7"/>
    </row>
    <row r="135" spans="1:11">
      <c r="A135" s="4">
        <v>714</v>
      </c>
      <c r="B135" s="18" t="s">
        <v>154</v>
      </c>
      <c r="C135" s="2">
        <v>2913</v>
      </c>
      <c r="D135" s="3">
        <v>0</v>
      </c>
      <c r="E135" s="4">
        <f t="shared" si="2"/>
        <v>2913</v>
      </c>
      <c r="F135" s="3"/>
      <c r="G135" s="5"/>
      <c r="H135" s="4"/>
      <c r="I135" s="2"/>
      <c r="J135" s="3"/>
      <c r="K135" s="7"/>
    </row>
    <row r="136" spans="1:11">
      <c r="A136" s="4">
        <v>716</v>
      </c>
      <c r="B136" s="18" t="s">
        <v>155</v>
      </c>
      <c r="C136" s="2">
        <v>1942</v>
      </c>
      <c r="D136" s="3">
        <v>43</v>
      </c>
      <c r="E136" s="4">
        <f t="shared" si="2"/>
        <v>1985</v>
      </c>
      <c r="F136" s="3">
        <v>517.29999999999995</v>
      </c>
      <c r="G136" s="5" t="s">
        <v>74</v>
      </c>
      <c r="H136" s="4"/>
      <c r="I136" s="2"/>
      <c r="J136" s="8">
        <v>782</v>
      </c>
      <c r="K136" s="9">
        <v>744</v>
      </c>
    </row>
    <row r="137" spans="1:11">
      <c r="A137" s="4">
        <v>717</v>
      </c>
      <c r="B137" s="18" t="s">
        <v>156</v>
      </c>
      <c r="C137" s="2">
        <v>2100</v>
      </c>
      <c r="D137" s="3">
        <v>23</v>
      </c>
      <c r="E137" s="4">
        <f t="shared" si="2"/>
        <v>2123</v>
      </c>
      <c r="F137" s="3">
        <v>517.29999999999995</v>
      </c>
      <c r="G137" s="5" t="s">
        <v>74</v>
      </c>
      <c r="H137" s="4">
        <v>150</v>
      </c>
      <c r="I137" s="2"/>
      <c r="J137" s="3"/>
      <c r="K137" s="7"/>
    </row>
    <row r="138" spans="1:11">
      <c r="A138" s="4">
        <v>718</v>
      </c>
      <c r="B138" s="18" t="s">
        <v>157</v>
      </c>
      <c r="C138" s="2">
        <v>1942</v>
      </c>
      <c r="D138" s="3">
        <v>43</v>
      </c>
      <c r="E138" s="4">
        <f t="shared" si="2"/>
        <v>1985</v>
      </c>
      <c r="F138" s="3">
        <v>517.29999999999995</v>
      </c>
      <c r="G138" s="5" t="s">
        <v>74</v>
      </c>
      <c r="H138" s="4">
        <v>17</v>
      </c>
      <c r="I138" s="2"/>
      <c r="J138" s="3"/>
      <c r="K138" s="7"/>
    </row>
    <row r="139" spans="1:11">
      <c r="A139" s="4">
        <v>719</v>
      </c>
      <c r="B139" s="18" t="s">
        <v>158</v>
      </c>
      <c r="C139" s="2">
        <v>1782</v>
      </c>
      <c r="D139" s="3">
        <v>64</v>
      </c>
      <c r="E139" s="4">
        <f t="shared" si="2"/>
        <v>1846</v>
      </c>
      <c r="F139" s="3">
        <v>465.3</v>
      </c>
      <c r="G139" s="5" t="s">
        <v>77</v>
      </c>
      <c r="H139" s="4"/>
      <c r="I139" s="2"/>
      <c r="J139" s="8">
        <v>782</v>
      </c>
      <c r="K139" s="9">
        <v>744</v>
      </c>
    </row>
    <row r="140" spans="1:11">
      <c r="A140" s="4">
        <v>720</v>
      </c>
      <c r="B140" s="18" t="s">
        <v>159</v>
      </c>
      <c r="C140" s="2">
        <v>1782</v>
      </c>
      <c r="D140" s="3">
        <v>64</v>
      </c>
      <c r="E140" s="4">
        <f t="shared" si="2"/>
        <v>1846</v>
      </c>
      <c r="F140" s="3">
        <v>465.3</v>
      </c>
      <c r="G140" s="5" t="s">
        <v>77</v>
      </c>
      <c r="H140" s="4">
        <v>17</v>
      </c>
      <c r="I140" s="2"/>
      <c r="J140" s="3"/>
      <c r="K140" s="7"/>
    </row>
    <row r="141" spans="1:11">
      <c r="A141" s="4">
        <v>721</v>
      </c>
      <c r="B141" s="18" t="s">
        <v>160</v>
      </c>
      <c r="C141" s="2">
        <v>1942</v>
      </c>
      <c r="D141" s="3">
        <v>43</v>
      </c>
      <c r="E141" s="4">
        <f t="shared" si="2"/>
        <v>1985</v>
      </c>
      <c r="F141" s="3">
        <v>517.29999999999995</v>
      </c>
      <c r="G141" s="5" t="s">
        <v>74</v>
      </c>
      <c r="H141" s="4">
        <v>150</v>
      </c>
      <c r="I141" s="2"/>
      <c r="J141" s="3"/>
      <c r="K141" s="7"/>
    </row>
    <row r="142" spans="1:11">
      <c r="A142" s="4">
        <v>722</v>
      </c>
      <c r="B142" s="18" t="s">
        <v>161</v>
      </c>
      <c r="C142" s="2">
        <v>1692</v>
      </c>
      <c r="D142" s="3">
        <v>76</v>
      </c>
      <c r="E142" s="4">
        <f t="shared" si="2"/>
        <v>1768</v>
      </c>
      <c r="F142" s="3">
        <v>362.7</v>
      </c>
      <c r="G142" s="5" t="s">
        <v>79</v>
      </c>
      <c r="H142" s="4"/>
      <c r="I142" s="2"/>
      <c r="J142" s="8">
        <v>744</v>
      </c>
      <c r="K142" s="9">
        <v>744</v>
      </c>
    </row>
    <row r="143" spans="1:11">
      <c r="A143" s="4">
        <v>723</v>
      </c>
      <c r="B143" s="18" t="s">
        <v>162</v>
      </c>
      <c r="C143" s="2">
        <v>1700</v>
      </c>
      <c r="D143" s="3">
        <v>75</v>
      </c>
      <c r="E143" s="4">
        <f t="shared" si="2"/>
        <v>1775</v>
      </c>
      <c r="F143" s="3">
        <v>310.7</v>
      </c>
      <c r="G143" s="5" t="s">
        <v>68</v>
      </c>
      <c r="H143" s="4"/>
      <c r="I143" s="2"/>
      <c r="J143" s="8">
        <v>769</v>
      </c>
      <c r="K143" s="9">
        <v>650</v>
      </c>
    </row>
    <row r="144" spans="1:11">
      <c r="A144" s="4">
        <v>724</v>
      </c>
      <c r="B144" s="18" t="s">
        <v>163</v>
      </c>
      <c r="C144" s="2">
        <v>971</v>
      </c>
      <c r="D144" s="3">
        <v>414.7</v>
      </c>
      <c r="E144" s="4">
        <f t="shared" si="2"/>
        <v>1385.7</v>
      </c>
      <c r="F144" s="3"/>
      <c r="G144" s="5"/>
      <c r="H144" s="4"/>
      <c r="I144" s="2">
        <v>620</v>
      </c>
      <c r="J144" s="3"/>
      <c r="K144" s="7"/>
    </row>
    <row r="145" spans="1:11">
      <c r="A145" s="4">
        <v>725</v>
      </c>
      <c r="B145" s="18" t="s">
        <v>164</v>
      </c>
      <c r="C145" s="2">
        <v>1592</v>
      </c>
      <c r="D145" s="3">
        <v>89</v>
      </c>
      <c r="E145" s="4">
        <f t="shared" si="2"/>
        <v>1681</v>
      </c>
      <c r="F145" s="3">
        <v>310.7</v>
      </c>
      <c r="G145" s="5" t="s">
        <v>68</v>
      </c>
      <c r="H145" s="4"/>
      <c r="I145" s="2"/>
      <c r="J145" s="8">
        <v>738</v>
      </c>
      <c r="K145" s="9">
        <v>744</v>
      </c>
    </row>
    <row r="146" spans="1:11" ht="25.5">
      <c r="A146" s="4">
        <v>726</v>
      </c>
      <c r="B146" s="18" t="s">
        <v>165</v>
      </c>
      <c r="C146" s="2">
        <v>1500</v>
      </c>
      <c r="D146" s="3">
        <v>101</v>
      </c>
      <c r="E146" s="4">
        <f t="shared" si="2"/>
        <v>1601</v>
      </c>
      <c r="F146" s="3"/>
      <c r="G146" s="5"/>
      <c r="H146" s="4">
        <v>150</v>
      </c>
      <c r="I146" s="2"/>
      <c r="J146" s="3"/>
      <c r="K146" s="7"/>
    </row>
    <row r="147" spans="1:11">
      <c r="A147" s="4">
        <v>727</v>
      </c>
      <c r="B147" s="18" t="s">
        <v>166</v>
      </c>
      <c r="C147" s="2">
        <v>1600</v>
      </c>
      <c r="D147" s="3">
        <v>88</v>
      </c>
      <c r="E147" s="4">
        <f t="shared" si="2"/>
        <v>1688</v>
      </c>
      <c r="F147" s="3">
        <v>310.7</v>
      </c>
      <c r="G147" s="5" t="s">
        <v>68</v>
      </c>
      <c r="H147" s="4"/>
      <c r="I147" s="2"/>
      <c r="J147" s="8">
        <v>738</v>
      </c>
      <c r="K147" s="10">
        <v>650</v>
      </c>
    </row>
    <row r="148" spans="1:11">
      <c r="A148" s="4">
        <v>728</v>
      </c>
      <c r="B148" s="18" t="s">
        <v>167</v>
      </c>
      <c r="C148" s="2">
        <v>1942</v>
      </c>
      <c r="D148" s="3">
        <v>43</v>
      </c>
      <c r="E148" s="4">
        <f t="shared" si="2"/>
        <v>1985</v>
      </c>
      <c r="F148" s="3">
        <v>517.29999999999995</v>
      </c>
      <c r="G148" s="5" t="s">
        <v>74</v>
      </c>
      <c r="H148" s="4">
        <v>17</v>
      </c>
      <c r="I148" s="2"/>
      <c r="J148" s="3"/>
      <c r="K148" s="7"/>
    </row>
    <row r="149" spans="1:11" ht="25.5">
      <c r="A149" s="4">
        <v>729</v>
      </c>
      <c r="B149" s="18" t="s">
        <v>168</v>
      </c>
      <c r="C149" s="2">
        <v>1692</v>
      </c>
      <c r="D149" s="3">
        <v>76</v>
      </c>
      <c r="E149" s="4">
        <f t="shared" si="2"/>
        <v>1768</v>
      </c>
      <c r="F149" s="3">
        <v>517.29999999999995</v>
      </c>
      <c r="G149" s="5" t="s">
        <v>74</v>
      </c>
      <c r="H149" s="4"/>
      <c r="I149" s="2"/>
      <c r="J149" s="3"/>
      <c r="K149" s="7"/>
    </row>
    <row r="150" spans="1:11">
      <c r="A150" s="4">
        <v>730</v>
      </c>
      <c r="B150" s="18" t="s">
        <v>169</v>
      </c>
      <c r="C150" s="2">
        <v>1700</v>
      </c>
      <c r="D150" s="3">
        <v>75</v>
      </c>
      <c r="E150" s="4">
        <f t="shared" si="2"/>
        <v>1775</v>
      </c>
      <c r="F150" s="3">
        <v>517.29999999999995</v>
      </c>
      <c r="G150" s="5" t="s">
        <v>74</v>
      </c>
      <c r="H150" s="4"/>
      <c r="I150" s="2"/>
      <c r="J150" s="3"/>
      <c r="K150" s="7"/>
    </row>
    <row r="151" spans="1:11" ht="25.5">
      <c r="A151" s="4">
        <v>731</v>
      </c>
      <c r="B151" s="18" t="s">
        <v>170</v>
      </c>
      <c r="C151" s="2">
        <v>1592</v>
      </c>
      <c r="D151" s="3">
        <v>89</v>
      </c>
      <c r="E151" s="4">
        <f t="shared" si="2"/>
        <v>1681</v>
      </c>
      <c r="F151" s="3">
        <v>465.3</v>
      </c>
      <c r="G151" s="5" t="s">
        <v>77</v>
      </c>
      <c r="H151" s="4"/>
      <c r="I151" s="2"/>
      <c r="J151" s="3"/>
      <c r="K151" s="7"/>
    </row>
    <row r="152" spans="1:11">
      <c r="A152" s="4">
        <v>735</v>
      </c>
      <c r="B152" s="18" t="s">
        <v>171</v>
      </c>
      <c r="C152" s="2">
        <v>971</v>
      </c>
      <c r="D152" s="3">
        <v>414.7</v>
      </c>
      <c r="E152" s="4">
        <f t="shared" si="2"/>
        <v>1385.7</v>
      </c>
      <c r="F152" s="3"/>
      <c r="G152" s="5"/>
      <c r="H152" s="4">
        <v>150</v>
      </c>
      <c r="I152" s="2"/>
      <c r="J152" s="3"/>
      <c r="K152" s="7"/>
    </row>
    <row r="153" spans="1:11">
      <c r="A153" s="4">
        <v>736</v>
      </c>
      <c r="B153" s="18" t="s">
        <v>172</v>
      </c>
      <c r="C153" s="2">
        <v>1600</v>
      </c>
      <c r="D153" s="3">
        <v>88</v>
      </c>
      <c r="E153" s="4">
        <f t="shared" si="2"/>
        <v>1688</v>
      </c>
      <c r="F153" s="3">
        <v>517.29999999999995</v>
      </c>
      <c r="G153" s="5" t="s">
        <v>74</v>
      </c>
      <c r="H153" s="4"/>
      <c r="I153" s="2"/>
      <c r="J153" s="3"/>
      <c r="K153" s="7"/>
    </row>
    <row r="154" spans="1:11">
      <c r="A154" s="4">
        <v>738</v>
      </c>
      <c r="B154" s="18" t="s">
        <v>173</v>
      </c>
      <c r="C154" s="2">
        <v>971</v>
      </c>
      <c r="D154" s="3">
        <v>414.7</v>
      </c>
      <c r="E154" s="4">
        <f t="shared" si="2"/>
        <v>1385.7</v>
      </c>
      <c r="F154" s="3"/>
      <c r="G154" s="5"/>
      <c r="H154" s="4">
        <v>17</v>
      </c>
      <c r="I154" s="2"/>
      <c r="J154" s="3"/>
      <c r="K154" s="7"/>
    </row>
    <row r="155" spans="1:11">
      <c r="A155" s="4">
        <v>739</v>
      </c>
      <c r="B155" s="18" t="s">
        <v>174</v>
      </c>
      <c r="C155" s="2">
        <v>971</v>
      </c>
      <c r="D155" s="3">
        <v>414.7</v>
      </c>
      <c r="E155" s="4">
        <f t="shared" si="2"/>
        <v>1385.7</v>
      </c>
      <c r="F155" s="3"/>
      <c r="G155" s="5"/>
      <c r="H155" s="4">
        <v>150</v>
      </c>
      <c r="I155" s="2"/>
      <c r="J155" s="3"/>
      <c r="K155" s="7"/>
    </row>
    <row r="156" spans="1:11">
      <c r="A156" s="4">
        <v>741</v>
      </c>
      <c r="B156" s="18" t="s">
        <v>175</v>
      </c>
      <c r="C156" s="2">
        <v>1300</v>
      </c>
      <c r="D156" s="3">
        <v>127</v>
      </c>
      <c r="E156" s="4">
        <f t="shared" si="2"/>
        <v>1427</v>
      </c>
      <c r="F156" s="3">
        <v>310.7</v>
      </c>
      <c r="G156" s="5" t="s">
        <v>68</v>
      </c>
      <c r="H156" s="4"/>
      <c r="I156" s="2"/>
      <c r="J156" s="3"/>
      <c r="K156" s="9">
        <v>580</v>
      </c>
    </row>
    <row r="157" spans="1:11" ht="25.5">
      <c r="A157" s="4">
        <v>742</v>
      </c>
      <c r="B157" s="18" t="s">
        <v>176</v>
      </c>
      <c r="C157" s="2">
        <v>971</v>
      </c>
      <c r="D157" s="3">
        <v>414.7</v>
      </c>
      <c r="E157" s="4">
        <f t="shared" si="2"/>
        <v>1385.7</v>
      </c>
      <c r="F157" s="3"/>
      <c r="G157" s="5"/>
      <c r="H157" s="4">
        <v>150</v>
      </c>
      <c r="I157" s="2"/>
      <c r="J157" s="3"/>
      <c r="K157" s="7"/>
    </row>
    <row r="158" spans="1:11">
      <c r="A158" s="4">
        <v>744</v>
      </c>
      <c r="B158" s="18" t="s">
        <v>177</v>
      </c>
      <c r="C158" s="2">
        <v>1400</v>
      </c>
      <c r="D158" s="3">
        <v>114</v>
      </c>
      <c r="E158" s="4">
        <f t="shared" si="2"/>
        <v>1514</v>
      </c>
      <c r="F158" s="3">
        <v>310.7</v>
      </c>
      <c r="G158" s="5" t="s">
        <v>68</v>
      </c>
      <c r="H158" s="4"/>
      <c r="I158" s="2"/>
      <c r="J158" s="3"/>
      <c r="K158" s="9">
        <v>580</v>
      </c>
    </row>
    <row r="159" spans="1:11">
      <c r="A159" s="4">
        <v>745</v>
      </c>
      <c r="B159" s="18" t="s">
        <v>178</v>
      </c>
      <c r="C159" s="2">
        <v>1450</v>
      </c>
      <c r="D159" s="3">
        <v>107</v>
      </c>
      <c r="E159" s="4">
        <f t="shared" si="2"/>
        <v>1557</v>
      </c>
      <c r="F159" s="3"/>
      <c r="G159" s="5"/>
      <c r="H159" s="4"/>
      <c r="I159" s="2"/>
      <c r="J159" s="3"/>
      <c r="K159" s="7"/>
    </row>
    <row r="160" spans="1:11">
      <c r="A160" s="4">
        <v>746</v>
      </c>
      <c r="B160" s="18" t="s">
        <v>179</v>
      </c>
      <c r="C160" s="2">
        <v>971</v>
      </c>
      <c r="D160" s="3">
        <v>414.7</v>
      </c>
      <c r="E160" s="4">
        <f t="shared" si="2"/>
        <v>1385.7</v>
      </c>
      <c r="F160" s="3"/>
      <c r="G160" s="5"/>
      <c r="H160" s="4"/>
      <c r="I160" s="2"/>
      <c r="J160" s="3"/>
      <c r="K160" s="7"/>
    </row>
    <row r="161" spans="1:11">
      <c r="A161" s="4">
        <v>747</v>
      </c>
      <c r="B161" s="18" t="s">
        <v>180</v>
      </c>
      <c r="C161" s="2">
        <v>971</v>
      </c>
      <c r="D161" s="3">
        <v>414.7</v>
      </c>
      <c r="E161" s="4">
        <f t="shared" si="2"/>
        <v>1385.7</v>
      </c>
      <c r="F161" s="3"/>
      <c r="G161" s="5"/>
      <c r="H161" s="4"/>
      <c r="I161" s="2"/>
      <c r="J161" s="3"/>
      <c r="K161" s="7"/>
    </row>
    <row r="162" spans="1:11" ht="25.5">
      <c r="A162" s="4">
        <v>748</v>
      </c>
      <c r="B162" s="18" t="s">
        <v>181</v>
      </c>
      <c r="C162" s="2">
        <v>1250</v>
      </c>
      <c r="D162" s="3">
        <v>134</v>
      </c>
      <c r="E162" s="4">
        <f t="shared" si="2"/>
        <v>1384</v>
      </c>
      <c r="F162" s="3">
        <v>310.7</v>
      </c>
      <c r="G162" s="5" t="s">
        <v>68</v>
      </c>
      <c r="H162" s="4"/>
      <c r="I162" s="2"/>
      <c r="J162" s="3"/>
      <c r="K162" s="7"/>
    </row>
    <row r="163" spans="1:11">
      <c r="A163" s="4">
        <v>749</v>
      </c>
      <c r="B163" s="18" t="s">
        <v>182</v>
      </c>
      <c r="C163" s="2">
        <v>971</v>
      </c>
      <c r="D163" s="3">
        <v>414.7</v>
      </c>
      <c r="E163" s="4">
        <f t="shared" si="2"/>
        <v>1385.7</v>
      </c>
      <c r="F163" s="3"/>
      <c r="G163" s="5"/>
      <c r="H163" s="4"/>
      <c r="I163" s="2"/>
      <c r="J163" s="3"/>
      <c r="K163" s="9">
        <v>510</v>
      </c>
    </row>
    <row r="164" spans="1:11">
      <c r="A164" s="4">
        <v>750</v>
      </c>
      <c r="B164" s="18" t="s">
        <v>97</v>
      </c>
      <c r="C164" s="2">
        <v>971</v>
      </c>
      <c r="D164" s="3">
        <v>414.7</v>
      </c>
      <c r="E164" s="4">
        <f t="shared" si="2"/>
        <v>1385.7</v>
      </c>
      <c r="F164" s="3"/>
      <c r="G164" s="5"/>
      <c r="H164" s="4"/>
      <c r="I164" s="2"/>
      <c r="J164" s="3"/>
      <c r="K164" s="7"/>
    </row>
    <row r="165" spans="1:11">
      <c r="A165" s="4">
        <v>751</v>
      </c>
      <c r="B165" s="18" t="s">
        <v>183</v>
      </c>
      <c r="C165" s="2">
        <v>1400</v>
      </c>
      <c r="D165" s="3">
        <v>114</v>
      </c>
      <c r="E165" s="4">
        <f t="shared" si="2"/>
        <v>1514</v>
      </c>
      <c r="F165" s="3">
        <v>310.7</v>
      </c>
      <c r="G165" s="5">
        <v>388</v>
      </c>
      <c r="H165" s="4">
        <v>17</v>
      </c>
      <c r="I165" s="2"/>
      <c r="J165" s="3"/>
      <c r="K165" s="7"/>
    </row>
    <row r="166" spans="1:11">
      <c r="A166" s="4">
        <v>752</v>
      </c>
      <c r="B166" s="18" t="s">
        <v>184</v>
      </c>
      <c r="C166" s="2">
        <v>2913</v>
      </c>
      <c r="D166" s="3">
        <v>0</v>
      </c>
      <c r="E166" s="4">
        <f t="shared" si="2"/>
        <v>2913</v>
      </c>
      <c r="F166" s="3"/>
      <c r="G166" s="5"/>
      <c r="H166" s="4">
        <v>20</v>
      </c>
      <c r="I166" s="2"/>
      <c r="J166" s="3"/>
      <c r="K166" s="7"/>
    </row>
    <row r="167" spans="1:11">
      <c r="A167" s="4">
        <v>753</v>
      </c>
      <c r="B167" s="18" t="s">
        <v>185</v>
      </c>
      <c r="C167" s="2">
        <v>2913</v>
      </c>
      <c r="D167" s="3">
        <v>0</v>
      </c>
      <c r="E167" s="4">
        <f t="shared" si="2"/>
        <v>2913</v>
      </c>
      <c r="F167" s="3"/>
      <c r="G167" s="5"/>
      <c r="H167" s="4"/>
      <c r="I167" s="2"/>
      <c r="J167" s="3"/>
      <c r="K167" s="7"/>
    </row>
    <row r="168" spans="1:11">
      <c r="A168" s="4">
        <v>754</v>
      </c>
      <c r="B168" s="18" t="s">
        <v>186</v>
      </c>
      <c r="C168" s="2">
        <v>971</v>
      </c>
      <c r="D168" s="3">
        <v>414.7</v>
      </c>
      <c r="E168" s="4">
        <f t="shared" si="2"/>
        <v>1385.7</v>
      </c>
      <c r="F168" s="3"/>
      <c r="G168" s="5"/>
      <c r="H168" s="4"/>
      <c r="I168" s="2"/>
      <c r="J168" s="3"/>
      <c r="K168" s="7"/>
    </row>
    <row r="169" spans="1:11">
      <c r="A169" s="4">
        <v>755</v>
      </c>
      <c r="B169" s="18" t="s">
        <v>187</v>
      </c>
      <c r="C169" s="2">
        <v>971</v>
      </c>
      <c r="D169" s="3">
        <v>414.7</v>
      </c>
      <c r="E169" s="4">
        <f t="shared" si="2"/>
        <v>1385.7</v>
      </c>
      <c r="F169" s="3"/>
      <c r="G169" s="5"/>
      <c r="H169" s="4"/>
      <c r="I169" s="2"/>
      <c r="J169" s="3"/>
      <c r="K169" s="7"/>
    </row>
    <row r="170" spans="1:11">
      <c r="A170" s="4">
        <v>756</v>
      </c>
      <c r="B170" s="18" t="s">
        <v>188</v>
      </c>
      <c r="C170" s="2">
        <v>1290</v>
      </c>
      <c r="D170" s="3">
        <v>128</v>
      </c>
      <c r="E170" s="4">
        <f t="shared" si="2"/>
        <v>1418</v>
      </c>
      <c r="F170" s="3">
        <v>309.3</v>
      </c>
      <c r="G170" s="5">
        <v>388</v>
      </c>
      <c r="H170" s="4"/>
      <c r="I170" s="2"/>
      <c r="J170" s="3"/>
      <c r="K170" s="7"/>
    </row>
    <row r="171" spans="1:11">
      <c r="A171" s="4">
        <v>758</v>
      </c>
      <c r="B171" s="18" t="s">
        <v>189</v>
      </c>
      <c r="C171" s="2">
        <v>971</v>
      </c>
      <c r="D171" s="3">
        <v>414.7</v>
      </c>
      <c r="E171" s="4">
        <f t="shared" si="2"/>
        <v>1385.7</v>
      </c>
      <c r="F171" s="3"/>
      <c r="G171" s="5"/>
      <c r="H171" s="4"/>
      <c r="I171" s="2"/>
      <c r="J171" s="3"/>
      <c r="K171" s="7"/>
    </row>
    <row r="172" spans="1:11">
      <c r="A172" s="4">
        <v>759</v>
      </c>
      <c r="B172" s="18" t="s">
        <v>190</v>
      </c>
      <c r="C172" s="2"/>
      <c r="D172" s="3"/>
      <c r="E172" s="4"/>
      <c r="F172" s="3"/>
      <c r="G172" s="5"/>
      <c r="H172" s="4"/>
      <c r="I172" s="2"/>
      <c r="J172" s="3"/>
      <c r="K172" s="7"/>
    </row>
    <row r="173" spans="1:11">
      <c r="A173" s="4">
        <v>760</v>
      </c>
      <c r="B173" s="18" t="s">
        <v>191</v>
      </c>
      <c r="C173" s="2">
        <v>1400</v>
      </c>
      <c r="D173" s="3">
        <v>114</v>
      </c>
      <c r="E173" s="4">
        <f t="shared" ref="E173:E236" si="3">C173+D173</f>
        <v>1514</v>
      </c>
      <c r="F173" s="3"/>
      <c r="G173" s="5"/>
      <c r="H173" s="4"/>
      <c r="I173" s="2"/>
      <c r="J173" s="3"/>
      <c r="K173" s="7"/>
    </row>
    <row r="174" spans="1:11">
      <c r="A174" s="4">
        <v>761</v>
      </c>
      <c r="B174" s="18" t="s">
        <v>192</v>
      </c>
      <c r="C174" s="2">
        <v>1942</v>
      </c>
      <c r="D174" s="3">
        <v>43</v>
      </c>
      <c r="E174" s="4">
        <f t="shared" si="3"/>
        <v>1985</v>
      </c>
      <c r="F174" s="3">
        <v>362.7</v>
      </c>
      <c r="G174" s="5">
        <v>647</v>
      </c>
      <c r="H174" s="4">
        <v>150</v>
      </c>
      <c r="I174" s="2"/>
      <c r="J174" s="3"/>
      <c r="K174" s="7"/>
    </row>
    <row r="175" spans="1:11">
      <c r="A175" s="4">
        <v>763</v>
      </c>
      <c r="B175" s="18" t="s">
        <v>193</v>
      </c>
      <c r="C175" s="2">
        <v>971</v>
      </c>
      <c r="D175" s="3">
        <v>414.7</v>
      </c>
      <c r="E175" s="4">
        <f t="shared" si="3"/>
        <v>1385.7</v>
      </c>
      <c r="F175" s="3"/>
      <c r="G175" s="5"/>
      <c r="H175" s="4"/>
      <c r="I175" s="2"/>
      <c r="J175" s="3"/>
      <c r="K175" s="7"/>
    </row>
    <row r="176" spans="1:11">
      <c r="A176" s="4">
        <v>764</v>
      </c>
      <c r="B176" s="18" t="s">
        <v>194</v>
      </c>
      <c r="C176" s="2">
        <v>971</v>
      </c>
      <c r="D176" s="3">
        <v>414.7</v>
      </c>
      <c r="E176" s="4">
        <f t="shared" si="3"/>
        <v>1385.7</v>
      </c>
      <c r="F176" s="3"/>
      <c r="G176" s="5"/>
      <c r="H176" s="4"/>
      <c r="I176" s="2"/>
      <c r="J176" s="3"/>
      <c r="K176" s="7"/>
    </row>
    <row r="177" spans="1:11">
      <c r="A177" s="4">
        <v>765</v>
      </c>
      <c r="B177" s="18" t="s">
        <v>195</v>
      </c>
      <c r="C177" s="2">
        <v>971</v>
      </c>
      <c r="D177" s="3">
        <v>214</v>
      </c>
      <c r="E177" s="4">
        <f t="shared" si="3"/>
        <v>1185</v>
      </c>
      <c r="F177" s="3"/>
      <c r="G177" s="5"/>
      <c r="H177" s="4"/>
      <c r="I177" s="2">
        <v>155</v>
      </c>
      <c r="J177" s="3"/>
      <c r="K177" s="7"/>
    </row>
    <row r="178" spans="1:11">
      <c r="A178" s="4">
        <v>767</v>
      </c>
      <c r="B178" s="18" t="s">
        <v>196</v>
      </c>
      <c r="C178" s="2">
        <v>1700</v>
      </c>
      <c r="D178" s="3">
        <v>75</v>
      </c>
      <c r="E178" s="4">
        <f t="shared" si="3"/>
        <v>1775</v>
      </c>
      <c r="F178" s="3">
        <v>309.3</v>
      </c>
      <c r="G178" s="5">
        <v>388</v>
      </c>
      <c r="H178" s="4">
        <v>150</v>
      </c>
      <c r="I178" s="2"/>
      <c r="J178" s="3"/>
      <c r="K178" s="7"/>
    </row>
    <row r="179" spans="1:11" ht="25.5">
      <c r="A179" s="4">
        <v>768</v>
      </c>
      <c r="B179" s="18" t="s">
        <v>197</v>
      </c>
      <c r="C179" s="2">
        <v>971</v>
      </c>
      <c r="D179" s="3">
        <v>414.7</v>
      </c>
      <c r="E179" s="4">
        <f t="shared" si="3"/>
        <v>1385.7</v>
      </c>
      <c r="F179" s="3"/>
      <c r="G179" s="5"/>
      <c r="H179" s="4">
        <v>150</v>
      </c>
      <c r="I179" s="2"/>
      <c r="J179" s="3"/>
      <c r="K179" s="7"/>
    </row>
    <row r="180" spans="1:11">
      <c r="A180" s="4">
        <v>769</v>
      </c>
      <c r="B180" s="18" t="s">
        <v>198</v>
      </c>
      <c r="C180" s="2">
        <v>2913</v>
      </c>
      <c r="D180" s="3">
        <v>0</v>
      </c>
      <c r="E180" s="4">
        <f t="shared" si="3"/>
        <v>2913</v>
      </c>
      <c r="F180" s="3"/>
      <c r="G180" s="5"/>
      <c r="H180" s="4"/>
      <c r="I180" s="2"/>
      <c r="J180" s="3"/>
      <c r="K180" s="7"/>
    </row>
    <row r="181" spans="1:11" ht="25.5">
      <c r="A181" s="4">
        <v>770</v>
      </c>
      <c r="B181" s="18" t="s">
        <v>199</v>
      </c>
      <c r="C181" s="2">
        <v>2913</v>
      </c>
      <c r="D181" s="3">
        <v>0</v>
      </c>
      <c r="E181" s="4">
        <f t="shared" si="3"/>
        <v>2913</v>
      </c>
      <c r="F181" s="3">
        <v>776</v>
      </c>
      <c r="G181" s="5">
        <v>776</v>
      </c>
      <c r="H181" s="4"/>
      <c r="I181" s="2"/>
      <c r="J181" s="3"/>
      <c r="K181" s="7"/>
    </row>
    <row r="182" spans="1:11" ht="25.5">
      <c r="A182" s="4">
        <v>771</v>
      </c>
      <c r="B182" s="18" t="s">
        <v>200</v>
      </c>
      <c r="C182" s="2">
        <v>3146</v>
      </c>
      <c r="D182" s="3">
        <v>0</v>
      </c>
      <c r="E182" s="4">
        <f t="shared" si="3"/>
        <v>3146</v>
      </c>
      <c r="F182" s="3"/>
      <c r="G182" s="5">
        <v>776</v>
      </c>
      <c r="H182" s="4"/>
      <c r="I182" s="2"/>
      <c r="J182" s="3"/>
      <c r="K182" s="7"/>
    </row>
    <row r="183" spans="1:11" ht="38.25">
      <c r="A183" s="4">
        <v>773</v>
      </c>
      <c r="B183" s="18" t="s">
        <v>201</v>
      </c>
      <c r="C183" s="2">
        <v>971</v>
      </c>
      <c r="D183" s="3">
        <v>414.7</v>
      </c>
      <c r="E183" s="4">
        <f t="shared" si="3"/>
        <v>1385.7</v>
      </c>
      <c r="F183" s="3"/>
      <c r="G183" s="5"/>
      <c r="H183" s="4">
        <v>150</v>
      </c>
      <c r="I183" s="2"/>
      <c r="J183" s="3"/>
      <c r="K183" s="7"/>
    </row>
    <row r="184" spans="1:11" ht="38.25">
      <c r="A184" s="4">
        <v>774</v>
      </c>
      <c r="B184" s="18" t="s">
        <v>202</v>
      </c>
      <c r="C184" s="2">
        <v>971</v>
      </c>
      <c r="D184" s="3">
        <v>414.7</v>
      </c>
      <c r="E184" s="4">
        <f t="shared" si="3"/>
        <v>1385.7</v>
      </c>
      <c r="F184" s="3"/>
      <c r="G184" s="5"/>
      <c r="H184" s="4">
        <v>150</v>
      </c>
      <c r="I184" s="2"/>
      <c r="J184" s="3"/>
      <c r="K184" s="7"/>
    </row>
    <row r="185" spans="1:11">
      <c r="A185" s="4">
        <v>775</v>
      </c>
      <c r="B185" s="18" t="s">
        <v>203</v>
      </c>
      <c r="C185" s="2">
        <v>1400</v>
      </c>
      <c r="D185" s="3">
        <v>114</v>
      </c>
      <c r="E185" s="4">
        <f t="shared" si="3"/>
        <v>1514</v>
      </c>
      <c r="F185" s="3">
        <v>310.7</v>
      </c>
      <c r="G185" s="5">
        <v>388</v>
      </c>
      <c r="H185" s="4">
        <v>150</v>
      </c>
      <c r="I185" s="2"/>
      <c r="J185" s="3"/>
      <c r="K185" s="7"/>
    </row>
    <row r="186" spans="1:11">
      <c r="A186" s="4">
        <v>776</v>
      </c>
      <c r="B186" s="18" t="s">
        <v>204</v>
      </c>
      <c r="C186" s="2">
        <v>971</v>
      </c>
      <c r="D186" s="3">
        <v>414.7</v>
      </c>
      <c r="E186" s="4">
        <f t="shared" si="3"/>
        <v>1385.7</v>
      </c>
      <c r="F186" s="3"/>
      <c r="G186" s="5"/>
      <c r="H186" s="4"/>
      <c r="I186" s="2"/>
      <c r="J186" s="3"/>
      <c r="K186" s="7"/>
    </row>
    <row r="187" spans="1:11">
      <c r="A187" s="4">
        <v>777</v>
      </c>
      <c r="B187" s="18" t="s">
        <v>205</v>
      </c>
      <c r="C187" s="2">
        <v>2913</v>
      </c>
      <c r="D187" s="3">
        <v>0</v>
      </c>
      <c r="E187" s="4">
        <f t="shared" si="3"/>
        <v>2913</v>
      </c>
      <c r="F187" s="3"/>
      <c r="G187" s="5"/>
      <c r="H187" s="4"/>
      <c r="I187" s="2"/>
      <c r="J187" s="3"/>
      <c r="K187" s="7"/>
    </row>
    <row r="188" spans="1:11" ht="25.5">
      <c r="A188" s="4">
        <v>778</v>
      </c>
      <c r="B188" s="18" t="s">
        <v>206</v>
      </c>
      <c r="C188" s="2">
        <v>1692</v>
      </c>
      <c r="D188" s="3">
        <v>76</v>
      </c>
      <c r="E188" s="4">
        <f t="shared" si="3"/>
        <v>1768</v>
      </c>
      <c r="F188" s="3">
        <v>362.7</v>
      </c>
      <c r="G188" s="5">
        <v>453</v>
      </c>
      <c r="H188" s="4">
        <v>17</v>
      </c>
      <c r="I188" s="2"/>
      <c r="J188" s="3"/>
      <c r="K188" s="7"/>
    </row>
    <row r="189" spans="1:11">
      <c r="A189" s="4">
        <v>779</v>
      </c>
      <c r="B189" s="18" t="s">
        <v>207</v>
      </c>
      <c r="C189" s="2">
        <v>853</v>
      </c>
      <c r="D189" s="3">
        <v>414.7</v>
      </c>
      <c r="E189" s="4">
        <f t="shared" si="3"/>
        <v>1267.7</v>
      </c>
      <c r="F189" s="3"/>
      <c r="G189" s="5"/>
      <c r="H189" s="4"/>
      <c r="I189" s="2"/>
      <c r="J189" s="3"/>
      <c r="K189" s="7"/>
    </row>
    <row r="190" spans="1:11">
      <c r="A190" s="4">
        <v>780</v>
      </c>
      <c r="B190" s="18" t="s">
        <v>208</v>
      </c>
      <c r="C190" s="2">
        <v>3146</v>
      </c>
      <c r="D190" s="3">
        <v>0</v>
      </c>
      <c r="E190" s="4">
        <f t="shared" si="3"/>
        <v>3146</v>
      </c>
      <c r="F190" s="3"/>
      <c r="G190" s="5"/>
      <c r="H190" s="4"/>
      <c r="I190" s="2"/>
      <c r="J190" s="3"/>
      <c r="K190" s="7"/>
    </row>
    <row r="191" spans="1:11" ht="25.5">
      <c r="A191" s="4">
        <v>781</v>
      </c>
      <c r="B191" s="18" t="s">
        <v>209</v>
      </c>
      <c r="C191" s="2">
        <v>2288</v>
      </c>
      <c r="D191" s="3">
        <v>0</v>
      </c>
      <c r="E191" s="4">
        <f t="shared" si="3"/>
        <v>2288</v>
      </c>
      <c r="F191" s="3"/>
      <c r="G191" s="5"/>
      <c r="H191" s="4"/>
      <c r="I191" s="2"/>
      <c r="J191" s="3"/>
      <c r="K191" s="7"/>
    </row>
    <row r="192" spans="1:11">
      <c r="A192" s="4">
        <v>783</v>
      </c>
      <c r="B192" s="18" t="s">
        <v>210</v>
      </c>
      <c r="C192" s="2">
        <v>690</v>
      </c>
      <c r="D192" s="3">
        <v>414.7</v>
      </c>
      <c r="E192" s="4">
        <f t="shared" si="3"/>
        <v>1104.7</v>
      </c>
      <c r="F192" s="3"/>
      <c r="G192" s="5"/>
      <c r="H192" s="4"/>
      <c r="I192" s="2"/>
      <c r="J192" s="3"/>
      <c r="K192" s="7"/>
    </row>
    <row r="193" spans="1:11">
      <c r="A193" s="4">
        <v>787</v>
      </c>
      <c r="B193" s="18" t="s">
        <v>211</v>
      </c>
      <c r="C193" s="2">
        <v>1700</v>
      </c>
      <c r="D193" s="3">
        <v>75</v>
      </c>
      <c r="E193" s="4">
        <f t="shared" si="3"/>
        <v>1775</v>
      </c>
      <c r="F193" s="3">
        <v>310.7</v>
      </c>
      <c r="G193" s="5">
        <v>388</v>
      </c>
      <c r="H193" s="4">
        <v>17</v>
      </c>
      <c r="I193" s="2"/>
      <c r="J193" s="3"/>
      <c r="K193" s="7"/>
    </row>
    <row r="194" spans="1:11">
      <c r="A194" s="4">
        <v>788</v>
      </c>
      <c r="B194" s="18" t="s">
        <v>212</v>
      </c>
      <c r="C194" s="2">
        <v>644</v>
      </c>
      <c r="D194" s="3">
        <v>414.7</v>
      </c>
      <c r="E194" s="4">
        <f t="shared" si="3"/>
        <v>1058.7</v>
      </c>
      <c r="F194" s="3"/>
      <c r="G194" s="5"/>
      <c r="H194" s="4"/>
      <c r="I194" s="2"/>
      <c r="J194" s="3"/>
      <c r="K194" s="7"/>
    </row>
    <row r="195" spans="1:11">
      <c r="A195" s="4">
        <v>790</v>
      </c>
      <c r="B195" s="18" t="s">
        <v>213</v>
      </c>
      <c r="C195" s="2">
        <v>971</v>
      </c>
      <c r="D195" s="3">
        <v>414.7</v>
      </c>
      <c r="E195" s="4">
        <f t="shared" si="3"/>
        <v>1385.7</v>
      </c>
      <c r="F195" s="3"/>
      <c r="G195" s="5"/>
      <c r="H195" s="4">
        <v>17</v>
      </c>
      <c r="I195" s="2"/>
      <c r="J195" s="3"/>
      <c r="K195" s="7"/>
    </row>
    <row r="196" spans="1:11">
      <c r="A196" s="4">
        <v>791</v>
      </c>
      <c r="B196" s="18" t="s">
        <v>214</v>
      </c>
      <c r="C196" s="2">
        <v>2913</v>
      </c>
      <c r="D196" s="3">
        <v>0</v>
      </c>
      <c r="E196" s="4">
        <f t="shared" si="3"/>
        <v>2913</v>
      </c>
      <c r="F196" s="3">
        <v>776</v>
      </c>
      <c r="G196" s="5">
        <v>776</v>
      </c>
      <c r="H196" s="4">
        <v>17</v>
      </c>
      <c r="I196" s="2"/>
      <c r="J196" s="3"/>
      <c r="K196" s="7"/>
    </row>
    <row r="197" spans="1:11">
      <c r="A197" s="4">
        <v>793</v>
      </c>
      <c r="B197" s="18" t="s">
        <v>215</v>
      </c>
      <c r="C197" s="2">
        <v>2913</v>
      </c>
      <c r="D197" s="3">
        <v>0</v>
      </c>
      <c r="E197" s="4">
        <f t="shared" si="3"/>
        <v>2913</v>
      </c>
      <c r="F197" s="3">
        <v>776</v>
      </c>
      <c r="G197" s="5">
        <v>776</v>
      </c>
      <c r="H197" s="4"/>
      <c r="I197" s="2"/>
      <c r="J197" s="3"/>
      <c r="K197" s="7"/>
    </row>
    <row r="198" spans="1:11">
      <c r="A198" s="4">
        <v>794</v>
      </c>
      <c r="B198" s="18" t="s">
        <v>216</v>
      </c>
      <c r="C198" s="2">
        <v>1840</v>
      </c>
      <c r="D198" s="3">
        <v>57</v>
      </c>
      <c r="E198" s="4">
        <f t="shared" si="3"/>
        <v>1897</v>
      </c>
      <c r="F198" s="3">
        <v>465.3</v>
      </c>
      <c r="G198" s="5">
        <v>647</v>
      </c>
      <c r="H198" s="4"/>
      <c r="I198" s="2"/>
      <c r="J198" s="3"/>
      <c r="K198" s="9">
        <v>744</v>
      </c>
    </row>
    <row r="199" spans="1:11">
      <c r="A199" s="4">
        <v>795</v>
      </c>
      <c r="B199" s="18" t="s">
        <v>217</v>
      </c>
      <c r="C199" s="2">
        <v>1610</v>
      </c>
      <c r="D199" s="3">
        <v>87</v>
      </c>
      <c r="E199" s="4">
        <f t="shared" si="3"/>
        <v>1697</v>
      </c>
      <c r="F199" s="3">
        <v>310</v>
      </c>
      <c r="G199" s="5">
        <v>388</v>
      </c>
      <c r="H199" s="4"/>
      <c r="I199" s="2"/>
      <c r="J199" s="3"/>
      <c r="K199" s="10">
        <v>650</v>
      </c>
    </row>
    <row r="200" spans="1:11">
      <c r="A200" s="4">
        <v>796</v>
      </c>
      <c r="B200" s="18" t="s">
        <v>218</v>
      </c>
      <c r="C200" s="2">
        <v>1340</v>
      </c>
      <c r="D200" s="3">
        <v>122</v>
      </c>
      <c r="E200" s="4">
        <f t="shared" si="3"/>
        <v>1462</v>
      </c>
      <c r="F200" s="3">
        <v>310</v>
      </c>
      <c r="G200" s="5">
        <v>388</v>
      </c>
      <c r="H200" s="4"/>
      <c r="I200" s="2"/>
      <c r="J200" s="3"/>
      <c r="K200" s="7"/>
    </row>
    <row r="201" spans="1:11">
      <c r="A201" s="4">
        <v>797</v>
      </c>
      <c r="B201" s="18" t="s">
        <v>219</v>
      </c>
      <c r="C201" s="2">
        <v>1170</v>
      </c>
      <c r="D201" s="3">
        <v>144</v>
      </c>
      <c r="E201" s="4">
        <f t="shared" si="3"/>
        <v>1314</v>
      </c>
      <c r="F201" s="3"/>
      <c r="G201" s="5"/>
      <c r="H201" s="4"/>
      <c r="I201" s="2"/>
      <c r="J201" s="3"/>
      <c r="K201" s="7"/>
    </row>
    <row r="202" spans="1:11">
      <c r="A202" s="4">
        <v>799</v>
      </c>
      <c r="B202" s="18" t="s">
        <v>220</v>
      </c>
      <c r="C202" s="2">
        <v>1480</v>
      </c>
      <c r="D202" s="3">
        <v>104</v>
      </c>
      <c r="E202" s="4">
        <f t="shared" si="3"/>
        <v>1584</v>
      </c>
      <c r="F202" s="3"/>
      <c r="G202" s="5"/>
      <c r="H202" s="4"/>
      <c r="I202" s="2"/>
      <c r="J202" s="3"/>
      <c r="K202" s="7"/>
    </row>
    <row r="203" spans="1:11" ht="25.5">
      <c r="A203" s="4">
        <v>800</v>
      </c>
      <c r="B203" s="18" t="s">
        <v>221</v>
      </c>
      <c r="C203" s="2">
        <v>1942</v>
      </c>
      <c r="D203" s="3">
        <v>43</v>
      </c>
      <c r="E203" s="4">
        <f t="shared" si="3"/>
        <v>1985</v>
      </c>
      <c r="F203" s="3">
        <v>310</v>
      </c>
      <c r="G203" s="5">
        <v>388</v>
      </c>
      <c r="H203" s="4">
        <v>17</v>
      </c>
      <c r="I203" s="2">
        <v>223</v>
      </c>
      <c r="J203" s="3"/>
      <c r="K203" s="7"/>
    </row>
    <row r="204" spans="1:11">
      <c r="A204" s="4">
        <v>802</v>
      </c>
      <c r="B204" s="18" t="s">
        <v>222</v>
      </c>
      <c r="C204" s="2">
        <v>1700</v>
      </c>
      <c r="D204" s="3">
        <v>75</v>
      </c>
      <c r="E204" s="4">
        <f t="shared" si="3"/>
        <v>1775</v>
      </c>
      <c r="F204" s="3">
        <v>310</v>
      </c>
      <c r="G204" s="5">
        <v>388</v>
      </c>
      <c r="H204" s="4">
        <v>17</v>
      </c>
      <c r="I204" s="2">
        <v>211</v>
      </c>
      <c r="J204" s="3"/>
      <c r="K204" s="7"/>
    </row>
    <row r="205" spans="1:11">
      <c r="A205" s="4">
        <v>803</v>
      </c>
      <c r="B205" s="18" t="s">
        <v>223</v>
      </c>
      <c r="C205" s="2">
        <v>971</v>
      </c>
      <c r="D205" s="3">
        <v>214</v>
      </c>
      <c r="E205" s="4">
        <f t="shared" si="3"/>
        <v>1185</v>
      </c>
      <c r="F205" s="3"/>
      <c r="G205" s="5"/>
      <c r="H205" s="4">
        <v>17</v>
      </c>
      <c r="I205" s="2">
        <v>413</v>
      </c>
      <c r="J205" s="3"/>
      <c r="K205" s="7"/>
    </row>
    <row r="206" spans="1:11" ht="25.5">
      <c r="A206" s="4">
        <v>804</v>
      </c>
      <c r="B206" s="18" t="s">
        <v>224</v>
      </c>
      <c r="C206" s="2">
        <v>971</v>
      </c>
      <c r="D206" s="3">
        <v>414.7</v>
      </c>
      <c r="E206" s="4">
        <f t="shared" si="3"/>
        <v>1385.7</v>
      </c>
      <c r="F206" s="3"/>
      <c r="G206" s="5"/>
      <c r="H206" s="4"/>
      <c r="I206" s="2"/>
      <c r="J206" s="3"/>
      <c r="K206" s="7"/>
    </row>
    <row r="207" spans="1:11" ht="25.5">
      <c r="A207" s="4">
        <v>805</v>
      </c>
      <c r="B207" s="18" t="s">
        <v>225</v>
      </c>
      <c r="C207" s="2">
        <v>1150</v>
      </c>
      <c r="D207" s="3">
        <v>147</v>
      </c>
      <c r="E207" s="4">
        <f t="shared" si="3"/>
        <v>1297</v>
      </c>
      <c r="F207" s="3"/>
      <c r="G207" s="5"/>
      <c r="H207" s="4"/>
      <c r="I207" s="2"/>
      <c r="J207" s="3"/>
      <c r="K207" s="7"/>
    </row>
    <row r="208" spans="1:11" ht="25.5">
      <c r="A208" s="4">
        <v>806</v>
      </c>
      <c r="B208" s="18" t="s">
        <v>226</v>
      </c>
      <c r="C208" s="2">
        <v>971</v>
      </c>
      <c r="D208" s="3">
        <v>414.7</v>
      </c>
      <c r="E208" s="4">
        <f t="shared" si="3"/>
        <v>1385.7</v>
      </c>
      <c r="F208" s="3"/>
      <c r="G208" s="5"/>
      <c r="H208" s="4"/>
      <c r="I208" s="2"/>
      <c r="J208" s="3"/>
      <c r="K208" s="7"/>
    </row>
    <row r="209" spans="1:11" ht="25.5">
      <c r="A209" s="4">
        <v>807</v>
      </c>
      <c r="B209" s="18" t="s">
        <v>227</v>
      </c>
      <c r="C209" s="2">
        <v>1942</v>
      </c>
      <c r="D209" s="3">
        <v>43</v>
      </c>
      <c r="E209" s="4">
        <f t="shared" si="3"/>
        <v>1985</v>
      </c>
      <c r="F209" s="3">
        <v>518</v>
      </c>
      <c r="G209" s="5">
        <v>647</v>
      </c>
      <c r="H209" s="4"/>
      <c r="I209" s="2"/>
      <c r="J209" s="3"/>
      <c r="K209" s="7"/>
    </row>
    <row r="210" spans="1:11">
      <c r="A210" s="4">
        <v>808</v>
      </c>
      <c r="B210" s="18" t="s">
        <v>228</v>
      </c>
      <c r="C210" s="2">
        <v>1942</v>
      </c>
      <c r="D210" s="3">
        <v>43</v>
      </c>
      <c r="E210" s="4">
        <f t="shared" si="3"/>
        <v>1985</v>
      </c>
      <c r="F210" s="3">
        <v>310.7</v>
      </c>
      <c r="G210" s="5">
        <v>388</v>
      </c>
      <c r="H210" s="4"/>
      <c r="I210" s="2">
        <v>669</v>
      </c>
      <c r="J210" s="3"/>
      <c r="K210" s="7"/>
    </row>
    <row r="211" spans="1:11">
      <c r="A211" s="4">
        <v>809</v>
      </c>
      <c r="B211" s="18" t="s">
        <v>229</v>
      </c>
      <c r="C211" s="2">
        <v>1782</v>
      </c>
      <c r="D211" s="3">
        <v>64</v>
      </c>
      <c r="E211" s="4">
        <f t="shared" si="3"/>
        <v>1846</v>
      </c>
      <c r="F211" s="3">
        <v>310.7</v>
      </c>
      <c r="G211" s="5">
        <v>388</v>
      </c>
      <c r="H211" s="4"/>
      <c r="I211" s="2">
        <v>669</v>
      </c>
      <c r="J211" s="3"/>
      <c r="K211" s="7"/>
    </row>
    <row r="212" spans="1:11">
      <c r="A212" s="4">
        <v>810</v>
      </c>
      <c r="B212" s="18" t="s">
        <v>230</v>
      </c>
      <c r="C212" s="2">
        <v>1692</v>
      </c>
      <c r="D212" s="3">
        <v>76</v>
      </c>
      <c r="E212" s="4">
        <f t="shared" si="3"/>
        <v>1768</v>
      </c>
      <c r="F212" s="3">
        <v>310.7</v>
      </c>
      <c r="G212" s="5">
        <v>388</v>
      </c>
      <c r="H212" s="4"/>
      <c r="I212" s="2">
        <v>663</v>
      </c>
      <c r="J212" s="3"/>
      <c r="K212" s="7"/>
    </row>
    <row r="213" spans="1:11">
      <c r="A213" s="4">
        <v>811</v>
      </c>
      <c r="B213" s="18" t="s">
        <v>231</v>
      </c>
      <c r="C213" s="2">
        <v>1592</v>
      </c>
      <c r="D213" s="3">
        <v>89</v>
      </c>
      <c r="E213" s="4">
        <f t="shared" si="3"/>
        <v>1681</v>
      </c>
      <c r="F213" s="3">
        <v>310.7</v>
      </c>
      <c r="G213" s="5">
        <v>388</v>
      </c>
      <c r="H213" s="4"/>
      <c r="I213" s="2">
        <v>657</v>
      </c>
      <c r="J213" s="3"/>
      <c r="K213" s="7"/>
    </row>
    <row r="214" spans="1:11" ht="25.5">
      <c r="A214" s="4">
        <v>812</v>
      </c>
      <c r="B214" s="18" t="s">
        <v>232</v>
      </c>
      <c r="C214" s="2">
        <v>1600</v>
      </c>
      <c r="D214" s="3">
        <v>88</v>
      </c>
      <c r="E214" s="4">
        <f t="shared" si="3"/>
        <v>1688</v>
      </c>
      <c r="F214" s="3">
        <v>310.7</v>
      </c>
      <c r="G214" s="5">
        <v>388</v>
      </c>
      <c r="H214" s="4"/>
      <c r="I214" s="2">
        <v>657</v>
      </c>
      <c r="J214" s="3"/>
      <c r="K214" s="7"/>
    </row>
    <row r="215" spans="1:11">
      <c r="A215" s="4">
        <v>813</v>
      </c>
      <c r="B215" s="18" t="s">
        <v>233</v>
      </c>
      <c r="C215" s="2">
        <v>971</v>
      </c>
      <c r="D215" s="3">
        <v>214</v>
      </c>
      <c r="E215" s="4">
        <f t="shared" si="3"/>
        <v>1185</v>
      </c>
      <c r="F215" s="3"/>
      <c r="G215" s="5"/>
      <c r="H215" s="4"/>
      <c r="I215" s="2">
        <v>620</v>
      </c>
      <c r="J215" s="3"/>
      <c r="K215" s="7"/>
    </row>
    <row r="216" spans="1:11">
      <c r="A216" s="4">
        <v>814</v>
      </c>
      <c r="B216" s="18" t="s">
        <v>234</v>
      </c>
      <c r="C216" s="2">
        <v>971</v>
      </c>
      <c r="D216" s="3">
        <v>214</v>
      </c>
      <c r="E216" s="4">
        <f t="shared" si="3"/>
        <v>1185</v>
      </c>
      <c r="F216" s="3"/>
      <c r="G216" s="5"/>
      <c r="H216" s="4"/>
      <c r="I216" s="2">
        <v>155</v>
      </c>
      <c r="J216" s="3"/>
      <c r="K216" s="7"/>
    </row>
    <row r="217" spans="1:11">
      <c r="A217" s="4">
        <v>816</v>
      </c>
      <c r="B217" s="18" t="s">
        <v>235</v>
      </c>
      <c r="C217" s="2">
        <v>1600</v>
      </c>
      <c r="D217" s="3">
        <v>88</v>
      </c>
      <c r="E217" s="4">
        <f t="shared" si="3"/>
        <v>1688</v>
      </c>
      <c r="F217" s="3">
        <v>310.7</v>
      </c>
      <c r="G217" s="5">
        <v>388</v>
      </c>
      <c r="H217" s="4">
        <v>17</v>
      </c>
      <c r="I217" s="2"/>
      <c r="J217" s="3"/>
      <c r="K217" s="7"/>
    </row>
    <row r="218" spans="1:11">
      <c r="A218" s="4">
        <v>817</v>
      </c>
      <c r="B218" s="18" t="s">
        <v>236</v>
      </c>
      <c r="C218" s="2">
        <v>971</v>
      </c>
      <c r="D218" s="3">
        <v>214</v>
      </c>
      <c r="E218" s="4">
        <f t="shared" si="3"/>
        <v>1185</v>
      </c>
      <c r="F218" s="3"/>
      <c r="G218" s="5"/>
      <c r="H218" s="4"/>
      <c r="I218" s="2">
        <v>155</v>
      </c>
      <c r="J218" s="3"/>
      <c r="K218" s="7"/>
    </row>
    <row r="219" spans="1:11">
      <c r="A219" s="4">
        <v>818</v>
      </c>
      <c r="B219" s="18" t="s">
        <v>237</v>
      </c>
      <c r="C219" s="2">
        <v>971</v>
      </c>
      <c r="D219" s="3">
        <v>214</v>
      </c>
      <c r="E219" s="4">
        <f t="shared" si="3"/>
        <v>1185</v>
      </c>
      <c r="F219" s="3"/>
      <c r="G219" s="5"/>
      <c r="H219" s="4"/>
      <c r="I219" s="2">
        <v>659</v>
      </c>
      <c r="J219" s="3"/>
      <c r="K219" s="7"/>
    </row>
    <row r="220" spans="1:11">
      <c r="A220" s="4">
        <v>819</v>
      </c>
      <c r="B220" s="18" t="s">
        <v>238</v>
      </c>
      <c r="C220" s="2">
        <v>971</v>
      </c>
      <c r="D220" s="3">
        <v>214</v>
      </c>
      <c r="E220" s="4">
        <f t="shared" si="3"/>
        <v>1185</v>
      </c>
      <c r="F220" s="3"/>
      <c r="G220" s="5"/>
      <c r="H220" s="4"/>
      <c r="I220" s="2">
        <v>155</v>
      </c>
      <c r="J220" s="3"/>
      <c r="K220" s="7"/>
    </row>
    <row r="221" spans="1:11">
      <c r="A221" s="4">
        <v>820</v>
      </c>
      <c r="B221" s="18" t="s">
        <v>239</v>
      </c>
      <c r="C221" s="2">
        <v>1692</v>
      </c>
      <c r="D221" s="3">
        <v>76</v>
      </c>
      <c r="E221" s="4">
        <f t="shared" si="3"/>
        <v>1768</v>
      </c>
      <c r="F221" s="3">
        <v>362.7</v>
      </c>
      <c r="G221" s="5">
        <v>453</v>
      </c>
      <c r="H221" s="4"/>
      <c r="I221" s="2">
        <v>839</v>
      </c>
      <c r="J221" s="3"/>
      <c r="K221" s="7"/>
    </row>
    <row r="222" spans="1:11">
      <c r="A222" s="4">
        <v>821</v>
      </c>
      <c r="B222" s="18" t="s">
        <v>240</v>
      </c>
      <c r="C222" s="2">
        <v>1592</v>
      </c>
      <c r="D222" s="3">
        <v>89</v>
      </c>
      <c r="E222" s="4">
        <f t="shared" si="3"/>
        <v>1681</v>
      </c>
      <c r="F222" s="3">
        <v>310.7</v>
      </c>
      <c r="G222" s="5">
        <v>388</v>
      </c>
      <c r="H222" s="4"/>
      <c r="I222" s="2">
        <v>839</v>
      </c>
      <c r="J222" s="3"/>
      <c r="K222" s="7"/>
    </row>
    <row r="223" spans="1:11">
      <c r="A223" s="4">
        <v>822</v>
      </c>
      <c r="B223" s="18" t="s">
        <v>241</v>
      </c>
      <c r="C223" s="2">
        <v>971</v>
      </c>
      <c r="D223" s="3">
        <v>414.7</v>
      </c>
      <c r="E223" s="4">
        <f t="shared" si="3"/>
        <v>1385.7</v>
      </c>
      <c r="F223" s="3"/>
      <c r="G223" s="5"/>
      <c r="H223" s="4"/>
      <c r="I223" s="2"/>
      <c r="J223" s="3"/>
      <c r="K223" s="7"/>
    </row>
    <row r="224" spans="1:11">
      <c r="A224" s="4">
        <v>823</v>
      </c>
      <c r="B224" s="18" t="s">
        <v>242</v>
      </c>
      <c r="C224" s="2">
        <v>1700</v>
      </c>
      <c r="D224" s="3">
        <v>75</v>
      </c>
      <c r="E224" s="4">
        <f t="shared" si="3"/>
        <v>1775</v>
      </c>
      <c r="F224" s="3">
        <v>310.7</v>
      </c>
      <c r="G224" s="5">
        <v>388</v>
      </c>
      <c r="H224" s="4"/>
      <c r="I224" s="2">
        <v>657</v>
      </c>
      <c r="J224" s="3"/>
      <c r="K224" s="7"/>
    </row>
    <row r="225" spans="1:11">
      <c r="A225" s="4">
        <v>824</v>
      </c>
      <c r="B225" s="18" t="s">
        <v>243</v>
      </c>
      <c r="C225" s="2">
        <v>1400</v>
      </c>
      <c r="D225" s="3">
        <v>114</v>
      </c>
      <c r="E225" s="4">
        <f t="shared" si="3"/>
        <v>1514</v>
      </c>
      <c r="F225" s="3">
        <v>310.7</v>
      </c>
      <c r="G225" s="5">
        <v>388</v>
      </c>
      <c r="H225" s="4"/>
      <c r="I225" s="2">
        <v>657</v>
      </c>
      <c r="J225" s="3"/>
      <c r="K225" s="7"/>
    </row>
    <row r="226" spans="1:11">
      <c r="A226" s="4">
        <v>825</v>
      </c>
      <c r="B226" s="18" t="s">
        <v>244</v>
      </c>
      <c r="C226" s="2">
        <v>1300</v>
      </c>
      <c r="D226" s="3">
        <v>127</v>
      </c>
      <c r="E226" s="4">
        <f t="shared" si="3"/>
        <v>1427</v>
      </c>
      <c r="F226" s="3">
        <v>310.7</v>
      </c>
      <c r="G226" s="5">
        <v>388</v>
      </c>
      <c r="H226" s="4"/>
      <c r="I226" s="2">
        <v>657</v>
      </c>
      <c r="J226" s="3"/>
      <c r="K226" s="7"/>
    </row>
    <row r="227" spans="1:11">
      <c r="A227" s="4">
        <v>826</v>
      </c>
      <c r="B227" s="18" t="s">
        <v>245</v>
      </c>
      <c r="C227" s="2">
        <v>1250</v>
      </c>
      <c r="D227" s="3">
        <v>134</v>
      </c>
      <c r="E227" s="4">
        <f t="shared" si="3"/>
        <v>1384</v>
      </c>
      <c r="F227" s="3">
        <v>310.7</v>
      </c>
      <c r="G227" s="5">
        <v>388</v>
      </c>
      <c r="H227" s="4"/>
      <c r="I227" s="2">
        <v>657</v>
      </c>
      <c r="J227" s="3"/>
      <c r="K227" s="7"/>
    </row>
    <row r="228" spans="1:11" ht="25.5">
      <c r="A228" s="4">
        <v>827</v>
      </c>
      <c r="B228" s="18" t="s">
        <v>246</v>
      </c>
      <c r="C228" s="2">
        <v>1680</v>
      </c>
      <c r="D228" s="3">
        <v>77</v>
      </c>
      <c r="E228" s="4">
        <f t="shared" si="3"/>
        <v>1757</v>
      </c>
      <c r="F228" s="3">
        <v>517.29999999999995</v>
      </c>
      <c r="G228" s="5">
        <v>453</v>
      </c>
      <c r="H228" s="4"/>
      <c r="I228" s="2"/>
      <c r="J228" s="3"/>
      <c r="K228" s="7"/>
    </row>
    <row r="229" spans="1:11">
      <c r="A229" s="4">
        <v>828</v>
      </c>
      <c r="B229" s="18" t="s">
        <v>247</v>
      </c>
      <c r="C229" s="2">
        <v>2913</v>
      </c>
      <c r="D229" s="3">
        <v>0</v>
      </c>
      <c r="E229" s="4">
        <f t="shared" si="3"/>
        <v>2913</v>
      </c>
      <c r="F229" s="3"/>
      <c r="G229" s="5"/>
      <c r="H229" s="4">
        <v>17</v>
      </c>
      <c r="I229" s="2"/>
      <c r="J229" s="3"/>
      <c r="K229" s="7"/>
    </row>
    <row r="230" spans="1:11" ht="38.25">
      <c r="A230" s="4">
        <v>829</v>
      </c>
      <c r="B230" s="18" t="s">
        <v>248</v>
      </c>
      <c r="C230" s="2">
        <v>971</v>
      </c>
      <c r="D230" s="3">
        <v>414.7</v>
      </c>
      <c r="E230" s="4">
        <f t="shared" si="3"/>
        <v>1385.7</v>
      </c>
      <c r="F230" s="3"/>
      <c r="G230" s="5"/>
      <c r="H230" s="4"/>
      <c r="I230" s="2"/>
      <c r="J230" s="3"/>
      <c r="K230" s="7"/>
    </row>
    <row r="231" spans="1:11" ht="25.5">
      <c r="A231" s="4">
        <v>830</v>
      </c>
      <c r="B231" s="18" t="s">
        <v>249</v>
      </c>
      <c r="C231" s="2">
        <v>971</v>
      </c>
      <c r="D231" s="3">
        <v>414.7</v>
      </c>
      <c r="E231" s="4">
        <f t="shared" si="3"/>
        <v>1385.7</v>
      </c>
      <c r="F231" s="3"/>
      <c r="G231" s="5"/>
      <c r="H231" s="4"/>
      <c r="I231" s="2"/>
      <c r="J231" s="3"/>
      <c r="K231" s="7"/>
    </row>
    <row r="232" spans="1:11" ht="25.5">
      <c r="A232" s="4">
        <v>831</v>
      </c>
      <c r="B232" s="18" t="s">
        <v>250</v>
      </c>
      <c r="C232" s="2">
        <v>971</v>
      </c>
      <c r="D232" s="3">
        <v>414.7</v>
      </c>
      <c r="E232" s="4">
        <f t="shared" si="3"/>
        <v>1385.7</v>
      </c>
      <c r="F232" s="3"/>
      <c r="G232" s="5"/>
      <c r="H232" s="4"/>
      <c r="I232" s="2"/>
      <c r="J232" s="3"/>
      <c r="K232" s="7"/>
    </row>
    <row r="233" spans="1:11">
      <c r="A233" s="4">
        <v>833</v>
      </c>
      <c r="B233" s="18" t="s">
        <v>251</v>
      </c>
      <c r="C233" s="2">
        <v>971</v>
      </c>
      <c r="D233" s="3">
        <v>214</v>
      </c>
      <c r="E233" s="4">
        <f t="shared" si="3"/>
        <v>1185</v>
      </c>
      <c r="F233" s="3"/>
      <c r="G233" s="5"/>
      <c r="H233" s="4"/>
      <c r="I233" s="2">
        <v>155</v>
      </c>
      <c r="J233" s="3"/>
      <c r="K233" s="7"/>
    </row>
    <row r="234" spans="1:11">
      <c r="A234" s="4">
        <v>834</v>
      </c>
      <c r="B234" s="18" t="s">
        <v>252</v>
      </c>
      <c r="C234" s="2">
        <v>971</v>
      </c>
      <c r="D234" s="3">
        <v>214</v>
      </c>
      <c r="E234" s="4">
        <f t="shared" si="3"/>
        <v>1185</v>
      </c>
      <c r="F234" s="3"/>
      <c r="G234" s="5"/>
      <c r="H234" s="4"/>
      <c r="I234" s="2">
        <v>155</v>
      </c>
      <c r="J234" s="3"/>
      <c r="K234" s="7"/>
    </row>
    <row r="235" spans="1:11">
      <c r="A235" s="4">
        <v>835</v>
      </c>
      <c r="B235" s="18" t="s">
        <v>253</v>
      </c>
      <c r="C235" s="2">
        <v>971</v>
      </c>
      <c r="D235" s="3">
        <v>214</v>
      </c>
      <c r="E235" s="4">
        <f t="shared" si="3"/>
        <v>1185</v>
      </c>
      <c r="F235" s="3"/>
      <c r="G235" s="5"/>
      <c r="H235" s="4"/>
      <c r="I235" s="2">
        <v>620</v>
      </c>
      <c r="J235" s="3"/>
      <c r="K235" s="7"/>
    </row>
    <row r="236" spans="1:11">
      <c r="A236" s="4">
        <v>836</v>
      </c>
      <c r="B236" s="18" t="s">
        <v>254</v>
      </c>
      <c r="C236" s="2">
        <v>971</v>
      </c>
      <c r="D236" s="3">
        <v>214</v>
      </c>
      <c r="E236" s="4">
        <f t="shared" si="3"/>
        <v>1185</v>
      </c>
      <c r="F236" s="3"/>
      <c r="G236" s="5"/>
      <c r="H236" s="4"/>
      <c r="I236" s="2">
        <v>155</v>
      </c>
      <c r="J236" s="3"/>
      <c r="K236" s="7"/>
    </row>
    <row r="237" spans="1:11">
      <c r="A237" s="4">
        <v>837</v>
      </c>
      <c r="B237" s="18" t="s">
        <v>255</v>
      </c>
      <c r="C237" s="2">
        <v>971</v>
      </c>
      <c r="D237" s="3">
        <v>214</v>
      </c>
      <c r="E237" s="4">
        <f t="shared" ref="E237:E300" si="4">C237+D237</f>
        <v>1185</v>
      </c>
      <c r="F237" s="3"/>
      <c r="G237" s="5"/>
      <c r="H237" s="4"/>
      <c r="I237" s="2">
        <v>155</v>
      </c>
      <c r="J237" s="3"/>
      <c r="K237" s="7"/>
    </row>
    <row r="238" spans="1:11">
      <c r="A238" s="4">
        <v>838</v>
      </c>
      <c r="B238" s="18" t="s">
        <v>256</v>
      </c>
      <c r="C238" s="2">
        <v>971</v>
      </c>
      <c r="D238" s="3">
        <v>214</v>
      </c>
      <c r="E238" s="4">
        <f t="shared" si="4"/>
        <v>1185</v>
      </c>
      <c r="F238" s="3"/>
      <c r="G238" s="5"/>
      <c r="H238" s="4"/>
      <c r="I238" s="2">
        <v>659</v>
      </c>
      <c r="J238" s="3"/>
      <c r="K238" s="7"/>
    </row>
    <row r="239" spans="1:11">
      <c r="A239" s="4">
        <v>839</v>
      </c>
      <c r="B239" s="18" t="s">
        <v>257</v>
      </c>
      <c r="C239" s="2">
        <v>971</v>
      </c>
      <c r="D239" s="3">
        <v>214</v>
      </c>
      <c r="E239" s="4">
        <f t="shared" si="4"/>
        <v>1185</v>
      </c>
      <c r="F239" s="3"/>
      <c r="G239" s="5"/>
      <c r="H239" s="4"/>
      <c r="I239" s="2">
        <v>155</v>
      </c>
      <c r="J239" s="3"/>
      <c r="K239" s="7"/>
    </row>
    <row r="240" spans="1:11">
      <c r="A240" s="4">
        <v>840</v>
      </c>
      <c r="B240" s="18" t="s">
        <v>258</v>
      </c>
      <c r="C240" s="2">
        <v>971</v>
      </c>
      <c r="D240" s="3">
        <v>214</v>
      </c>
      <c r="E240" s="4">
        <f t="shared" si="4"/>
        <v>1185</v>
      </c>
      <c r="F240" s="3"/>
      <c r="G240" s="5"/>
      <c r="H240" s="4"/>
      <c r="I240" s="2">
        <v>155</v>
      </c>
      <c r="J240" s="3"/>
      <c r="K240" s="7"/>
    </row>
    <row r="241" spans="1:11" ht="38.25">
      <c r="A241" s="4">
        <v>841</v>
      </c>
      <c r="B241" s="18" t="s">
        <v>259</v>
      </c>
      <c r="C241" s="2">
        <v>1300</v>
      </c>
      <c r="D241" s="3">
        <v>127</v>
      </c>
      <c r="E241" s="4">
        <f t="shared" si="4"/>
        <v>1427</v>
      </c>
      <c r="F241" s="3">
        <v>388</v>
      </c>
      <c r="G241" s="5">
        <v>388</v>
      </c>
      <c r="H241" s="4"/>
      <c r="I241" s="2"/>
      <c r="J241" s="3"/>
      <c r="K241" s="7"/>
    </row>
    <row r="242" spans="1:11">
      <c r="A242" s="4">
        <v>842</v>
      </c>
      <c r="B242" s="18" t="s">
        <v>260</v>
      </c>
      <c r="C242" s="2">
        <v>1500</v>
      </c>
      <c r="D242" s="3">
        <v>101</v>
      </c>
      <c r="E242" s="4">
        <f t="shared" si="4"/>
        <v>1601</v>
      </c>
      <c r="F242" s="3">
        <v>518</v>
      </c>
      <c r="G242" s="5">
        <v>647</v>
      </c>
      <c r="H242" s="4"/>
      <c r="I242" s="2"/>
      <c r="J242" s="3"/>
      <c r="K242" s="9">
        <v>744</v>
      </c>
    </row>
    <row r="243" spans="1:11">
      <c r="A243" s="4">
        <v>843</v>
      </c>
      <c r="B243" s="18" t="s">
        <v>261</v>
      </c>
      <c r="C243" s="2">
        <v>1250</v>
      </c>
      <c r="D243" s="3">
        <v>134</v>
      </c>
      <c r="E243" s="4">
        <f t="shared" si="4"/>
        <v>1384</v>
      </c>
      <c r="F243" s="3">
        <v>310.7</v>
      </c>
      <c r="G243" s="5">
        <v>388</v>
      </c>
      <c r="H243" s="4"/>
      <c r="I243" s="2"/>
      <c r="J243" s="3"/>
      <c r="K243" s="9">
        <v>580</v>
      </c>
    </row>
    <row r="244" spans="1:11">
      <c r="A244" s="4">
        <v>844</v>
      </c>
      <c r="B244" s="18" t="s">
        <v>262</v>
      </c>
      <c r="C244" s="2">
        <v>1660</v>
      </c>
      <c r="D244" s="3">
        <v>80</v>
      </c>
      <c r="E244" s="4">
        <f t="shared" si="4"/>
        <v>1740</v>
      </c>
      <c r="F244" s="3"/>
      <c r="G244" s="5"/>
      <c r="H244" s="4"/>
      <c r="I244" s="2"/>
      <c r="J244" s="3"/>
      <c r="K244" s="7"/>
    </row>
    <row r="245" spans="1:11" ht="25.5">
      <c r="A245" s="4">
        <v>847</v>
      </c>
      <c r="B245" s="18" t="s">
        <v>263</v>
      </c>
      <c r="C245" s="2">
        <v>971</v>
      </c>
      <c r="D245" s="3">
        <v>414.7</v>
      </c>
      <c r="E245" s="4">
        <f t="shared" si="4"/>
        <v>1385.7</v>
      </c>
      <c r="F245" s="3"/>
      <c r="G245" s="5"/>
      <c r="H245" s="4"/>
      <c r="I245" s="2"/>
      <c r="J245" s="3"/>
      <c r="K245" s="7"/>
    </row>
    <row r="246" spans="1:11" ht="25.5">
      <c r="A246" s="4">
        <v>848</v>
      </c>
      <c r="B246" s="18" t="s">
        <v>264</v>
      </c>
      <c r="C246" s="2">
        <v>971</v>
      </c>
      <c r="D246" s="3">
        <v>214</v>
      </c>
      <c r="E246" s="4">
        <f t="shared" si="4"/>
        <v>1185</v>
      </c>
      <c r="F246" s="3"/>
      <c r="G246" s="5"/>
      <c r="H246" s="4"/>
      <c r="I246" s="2">
        <v>155</v>
      </c>
      <c r="J246" s="3"/>
      <c r="K246" s="7"/>
    </row>
    <row r="247" spans="1:11" ht="25.5">
      <c r="A247" s="4">
        <v>849</v>
      </c>
      <c r="B247" s="18" t="s">
        <v>265</v>
      </c>
      <c r="C247" s="2">
        <v>971</v>
      </c>
      <c r="D247" s="3">
        <v>414.7</v>
      </c>
      <c r="E247" s="4">
        <f t="shared" si="4"/>
        <v>1385.7</v>
      </c>
      <c r="F247" s="3"/>
      <c r="G247" s="5"/>
      <c r="H247" s="4"/>
      <c r="I247" s="2"/>
      <c r="J247" s="3"/>
      <c r="K247" s="7"/>
    </row>
    <row r="248" spans="1:11">
      <c r="A248" s="4">
        <v>850</v>
      </c>
      <c r="B248" s="18" t="s">
        <v>266</v>
      </c>
      <c r="C248" s="2">
        <v>3146</v>
      </c>
      <c r="D248" s="3">
        <v>0</v>
      </c>
      <c r="E248" s="4">
        <f t="shared" si="4"/>
        <v>3146</v>
      </c>
      <c r="F248" s="3">
        <v>621.29999999999995</v>
      </c>
      <c r="G248" s="5">
        <v>776</v>
      </c>
      <c r="H248" s="4"/>
      <c r="I248" s="2"/>
      <c r="J248" s="3"/>
      <c r="K248" s="7"/>
    </row>
    <row r="249" spans="1:11">
      <c r="A249" s="4">
        <v>851</v>
      </c>
      <c r="B249" s="18" t="s">
        <v>267</v>
      </c>
      <c r="C249" s="2">
        <v>2913</v>
      </c>
      <c r="D249" s="3">
        <v>0</v>
      </c>
      <c r="E249" s="4">
        <f t="shared" si="4"/>
        <v>2913</v>
      </c>
      <c r="F249" s="3">
        <v>776</v>
      </c>
      <c r="G249" s="5">
        <v>776</v>
      </c>
      <c r="H249" s="4">
        <v>20</v>
      </c>
      <c r="I249" s="2"/>
      <c r="J249" s="3"/>
      <c r="K249" s="7"/>
    </row>
    <row r="250" spans="1:11">
      <c r="A250" s="4">
        <v>852</v>
      </c>
      <c r="B250" s="18" t="s">
        <v>268</v>
      </c>
      <c r="C250" s="2">
        <v>2913</v>
      </c>
      <c r="D250" s="3">
        <v>0</v>
      </c>
      <c r="E250" s="4">
        <f t="shared" si="4"/>
        <v>2913</v>
      </c>
      <c r="F250" s="3">
        <v>776</v>
      </c>
      <c r="G250" s="5">
        <v>776</v>
      </c>
      <c r="H250" s="4"/>
      <c r="I250" s="2"/>
      <c r="J250" s="3"/>
      <c r="K250" s="7"/>
    </row>
    <row r="251" spans="1:11">
      <c r="A251" s="4">
        <v>853</v>
      </c>
      <c r="B251" s="18" t="s">
        <v>269</v>
      </c>
      <c r="C251" s="2">
        <v>2913</v>
      </c>
      <c r="D251" s="3">
        <v>0</v>
      </c>
      <c r="E251" s="4">
        <f t="shared" si="4"/>
        <v>2913</v>
      </c>
      <c r="F251" s="3">
        <v>776</v>
      </c>
      <c r="G251" s="5">
        <v>776</v>
      </c>
      <c r="H251" s="4">
        <v>17</v>
      </c>
      <c r="I251" s="2"/>
      <c r="J251" s="3"/>
      <c r="K251" s="7"/>
    </row>
    <row r="252" spans="1:11">
      <c r="A252" s="4">
        <v>855</v>
      </c>
      <c r="B252" s="18" t="s">
        <v>270</v>
      </c>
      <c r="C252" s="2">
        <v>971</v>
      </c>
      <c r="D252" s="3">
        <v>414.7</v>
      </c>
      <c r="E252" s="4">
        <f t="shared" si="4"/>
        <v>1385.7</v>
      </c>
      <c r="F252" s="3"/>
      <c r="G252" s="5"/>
      <c r="H252" s="4"/>
      <c r="I252" s="2"/>
      <c r="J252" s="3"/>
      <c r="K252" s="7"/>
    </row>
    <row r="253" spans="1:11">
      <c r="A253" s="4">
        <v>856</v>
      </c>
      <c r="B253" s="18" t="s">
        <v>271</v>
      </c>
      <c r="C253" s="2">
        <v>2913</v>
      </c>
      <c r="D253" s="3">
        <v>0</v>
      </c>
      <c r="E253" s="4">
        <f t="shared" si="4"/>
        <v>2913</v>
      </c>
      <c r="F253" s="3"/>
      <c r="G253" s="5"/>
      <c r="H253" s="4"/>
      <c r="I253" s="2"/>
      <c r="J253" s="3"/>
      <c r="K253" s="7"/>
    </row>
    <row r="254" spans="1:11" ht="25.5">
      <c r="A254" s="4">
        <v>857</v>
      </c>
      <c r="B254" s="18" t="s">
        <v>272</v>
      </c>
      <c r="C254" s="2">
        <v>2913</v>
      </c>
      <c r="D254" s="3">
        <v>0</v>
      </c>
      <c r="E254" s="4">
        <f t="shared" si="4"/>
        <v>2913</v>
      </c>
      <c r="F254" s="3">
        <v>776</v>
      </c>
      <c r="G254" s="5" t="s">
        <v>66</v>
      </c>
      <c r="H254" s="4"/>
      <c r="I254" s="2"/>
      <c r="J254" s="3"/>
      <c r="K254" s="7"/>
    </row>
    <row r="255" spans="1:11">
      <c r="A255" s="4">
        <v>858</v>
      </c>
      <c r="B255" s="18" t="s">
        <v>273</v>
      </c>
      <c r="C255" s="2">
        <v>4428</v>
      </c>
      <c r="D255" s="3">
        <v>0</v>
      </c>
      <c r="E255" s="4">
        <f t="shared" si="4"/>
        <v>4428</v>
      </c>
      <c r="F255" s="3"/>
      <c r="G255" s="5"/>
      <c r="H255" s="4"/>
      <c r="I255" s="2"/>
      <c r="J255" s="3"/>
      <c r="K255" s="7"/>
    </row>
    <row r="256" spans="1:11">
      <c r="A256" s="4">
        <v>859</v>
      </c>
      <c r="B256" s="18" t="s">
        <v>274</v>
      </c>
      <c r="C256" s="2">
        <v>4000</v>
      </c>
      <c r="D256" s="3">
        <v>0</v>
      </c>
      <c r="E256" s="4">
        <f t="shared" si="4"/>
        <v>4000</v>
      </c>
      <c r="F256" s="3"/>
      <c r="G256" s="5"/>
      <c r="H256" s="4"/>
      <c r="I256" s="2"/>
      <c r="J256" s="3"/>
      <c r="K256" s="7"/>
    </row>
    <row r="257" spans="1:11">
      <c r="A257" s="4">
        <v>860</v>
      </c>
      <c r="B257" s="18" t="s">
        <v>275</v>
      </c>
      <c r="C257" s="2">
        <v>3572</v>
      </c>
      <c r="D257" s="3">
        <v>0</v>
      </c>
      <c r="E257" s="4">
        <f t="shared" si="4"/>
        <v>3572</v>
      </c>
      <c r="F257" s="3"/>
      <c r="G257" s="5"/>
      <c r="H257" s="4"/>
      <c r="I257" s="2"/>
      <c r="J257" s="3"/>
      <c r="K257" s="7"/>
    </row>
    <row r="258" spans="1:11">
      <c r="A258" s="4">
        <v>861</v>
      </c>
      <c r="B258" s="18" t="s">
        <v>276</v>
      </c>
      <c r="C258" s="2">
        <v>3144</v>
      </c>
      <c r="D258" s="3">
        <v>0</v>
      </c>
      <c r="E258" s="4">
        <f t="shared" si="4"/>
        <v>3144</v>
      </c>
      <c r="F258" s="3"/>
      <c r="G258" s="5"/>
      <c r="H258" s="4"/>
      <c r="I258" s="2"/>
      <c r="J258" s="3"/>
      <c r="K258" s="7"/>
    </row>
    <row r="259" spans="1:11" ht="25.5">
      <c r="A259" s="4">
        <v>862</v>
      </c>
      <c r="B259" s="18" t="s">
        <v>277</v>
      </c>
      <c r="C259" s="2">
        <v>2856</v>
      </c>
      <c r="D259" s="3">
        <v>0</v>
      </c>
      <c r="E259" s="4">
        <f t="shared" si="4"/>
        <v>2856</v>
      </c>
      <c r="F259" s="3"/>
      <c r="G259" s="5"/>
      <c r="H259" s="4"/>
      <c r="I259" s="2"/>
      <c r="J259" s="3"/>
      <c r="K259" s="7"/>
    </row>
    <row r="260" spans="1:11" ht="25.5">
      <c r="A260" s="4">
        <v>863</v>
      </c>
      <c r="B260" s="18" t="s">
        <v>278</v>
      </c>
      <c r="C260" s="2">
        <v>1428</v>
      </c>
      <c r="D260" s="3">
        <v>110</v>
      </c>
      <c r="E260" s="4">
        <f t="shared" si="4"/>
        <v>1538</v>
      </c>
      <c r="F260" s="3"/>
      <c r="G260" s="5"/>
      <c r="H260" s="4"/>
      <c r="I260" s="2"/>
      <c r="J260" s="3"/>
      <c r="K260" s="7"/>
    </row>
    <row r="261" spans="1:11">
      <c r="A261" s="4">
        <v>864</v>
      </c>
      <c r="B261" s="18" t="s">
        <v>279</v>
      </c>
      <c r="C261" s="2">
        <v>1572</v>
      </c>
      <c r="D261" s="3">
        <v>91</v>
      </c>
      <c r="E261" s="4">
        <f t="shared" si="4"/>
        <v>1663</v>
      </c>
      <c r="F261" s="3"/>
      <c r="G261" s="5"/>
      <c r="H261" s="4"/>
      <c r="I261" s="2"/>
      <c r="J261" s="3"/>
      <c r="K261" s="7"/>
    </row>
    <row r="262" spans="1:11">
      <c r="A262" s="4">
        <v>868</v>
      </c>
      <c r="B262" s="18" t="s">
        <v>280</v>
      </c>
      <c r="C262" s="2">
        <v>2214</v>
      </c>
      <c r="D262" s="3">
        <v>8</v>
      </c>
      <c r="E262" s="4">
        <f t="shared" si="4"/>
        <v>2222</v>
      </c>
      <c r="F262" s="3"/>
      <c r="G262" s="5"/>
      <c r="H262" s="4"/>
      <c r="I262" s="2"/>
      <c r="J262" s="3"/>
      <c r="K262" s="7"/>
    </row>
    <row r="263" spans="1:11">
      <c r="A263" s="4">
        <v>869</v>
      </c>
      <c r="B263" s="18" t="s">
        <v>281</v>
      </c>
      <c r="C263" s="2">
        <v>2000</v>
      </c>
      <c r="D263" s="3">
        <v>36</v>
      </c>
      <c r="E263" s="4">
        <f t="shared" si="4"/>
        <v>2036</v>
      </c>
      <c r="F263" s="3"/>
      <c r="G263" s="5"/>
      <c r="H263" s="4"/>
      <c r="I263" s="2"/>
      <c r="J263" s="3"/>
      <c r="K263" s="7"/>
    </row>
    <row r="264" spans="1:11">
      <c r="A264" s="4">
        <v>870</v>
      </c>
      <c r="B264" s="18" t="s">
        <v>282</v>
      </c>
      <c r="C264" s="2">
        <v>1786</v>
      </c>
      <c r="D264" s="3">
        <v>64</v>
      </c>
      <c r="E264" s="4">
        <f t="shared" si="4"/>
        <v>1850</v>
      </c>
      <c r="F264" s="3"/>
      <c r="G264" s="5"/>
      <c r="H264" s="4"/>
      <c r="I264" s="2"/>
      <c r="J264" s="3"/>
      <c r="K264" s="7"/>
    </row>
    <row r="265" spans="1:11">
      <c r="A265" s="4">
        <v>871</v>
      </c>
      <c r="B265" s="18" t="s">
        <v>283</v>
      </c>
      <c r="C265" s="2">
        <v>1107</v>
      </c>
      <c r="D265" s="3">
        <v>152</v>
      </c>
      <c r="E265" s="4">
        <f t="shared" si="4"/>
        <v>1259</v>
      </c>
      <c r="F265" s="3"/>
      <c r="G265" s="5"/>
      <c r="H265" s="4"/>
      <c r="I265" s="2"/>
      <c r="J265" s="3"/>
      <c r="K265" s="7"/>
    </row>
    <row r="266" spans="1:11">
      <c r="A266" s="4">
        <v>872</v>
      </c>
      <c r="B266" s="18" t="s">
        <v>284</v>
      </c>
      <c r="C266" s="2">
        <v>1000</v>
      </c>
      <c r="D266" s="3">
        <v>166</v>
      </c>
      <c r="E266" s="4">
        <f t="shared" si="4"/>
        <v>1166</v>
      </c>
      <c r="F266" s="3"/>
      <c r="G266" s="5"/>
      <c r="H266" s="4"/>
      <c r="I266" s="2"/>
      <c r="J266" s="3"/>
      <c r="K266" s="7"/>
    </row>
    <row r="267" spans="1:11">
      <c r="A267" s="4">
        <v>873</v>
      </c>
      <c r="B267" s="18" t="s">
        <v>285</v>
      </c>
      <c r="C267" s="2">
        <v>893</v>
      </c>
      <c r="D267" s="3">
        <v>414.7</v>
      </c>
      <c r="E267" s="4">
        <f t="shared" si="4"/>
        <v>1307.7</v>
      </c>
      <c r="F267" s="3"/>
      <c r="G267" s="5"/>
      <c r="H267" s="4"/>
      <c r="I267" s="2"/>
      <c r="J267" s="3"/>
      <c r="K267" s="7"/>
    </row>
    <row r="268" spans="1:11">
      <c r="A268" s="4">
        <v>874</v>
      </c>
      <c r="B268" s="18" t="s">
        <v>286</v>
      </c>
      <c r="C268" s="2">
        <v>786</v>
      </c>
      <c r="D268" s="3">
        <v>414.7</v>
      </c>
      <c r="E268" s="4">
        <f t="shared" si="4"/>
        <v>1200.7</v>
      </c>
      <c r="F268" s="3"/>
      <c r="G268" s="5"/>
      <c r="H268" s="4"/>
      <c r="I268" s="2"/>
      <c r="J268" s="3"/>
      <c r="K268" s="7"/>
    </row>
    <row r="269" spans="1:11" ht="25.5">
      <c r="A269" s="4">
        <v>875</v>
      </c>
      <c r="B269" s="18" t="s">
        <v>287</v>
      </c>
      <c r="C269" s="2">
        <v>714</v>
      </c>
      <c r="D269" s="3">
        <v>414.7</v>
      </c>
      <c r="E269" s="4">
        <f t="shared" si="4"/>
        <v>1128.7</v>
      </c>
      <c r="F269" s="3"/>
      <c r="G269" s="5"/>
      <c r="H269" s="4"/>
      <c r="I269" s="2"/>
      <c r="J269" s="3"/>
      <c r="K269" s="7"/>
    </row>
    <row r="270" spans="1:11">
      <c r="A270" s="4">
        <v>880</v>
      </c>
      <c r="B270" s="18" t="s">
        <v>288</v>
      </c>
      <c r="C270" s="2">
        <v>2913</v>
      </c>
      <c r="D270" s="3">
        <v>0</v>
      </c>
      <c r="E270" s="4">
        <f t="shared" si="4"/>
        <v>2913</v>
      </c>
      <c r="F270" s="3"/>
      <c r="G270" s="5"/>
      <c r="H270" s="4"/>
      <c r="I270" s="2"/>
      <c r="J270" s="3"/>
      <c r="K270" s="7"/>
    </row>
    <row r="271" spans="1:11">
      <c r="A271" s="4">
        <v>881</v>
      </c>
      <c r="B271" s="18" t="s">
        <v>289</v>
      </c>
      <c r="C271" s="2">
        <v>2913</v>
      </c>
      <c r="D271" s="3">
        <v>0</v>
      </c>
      <c r="E271" s="4">
        <f t="shared" si="4"/>
        <v>2913</v>
      </c>
      <c r="F271" s="3"/>
      <c r="G271" s="5"/>
      <c r="H271" s="4"/>
      <c r="I271" s="2"/>
      <c r="J271" s="3"/>
      <c r="K271" s="7"/>
    </row>
    <row r="272" spans="1:11">
      <c r="A272" s="4">
        <v>882</v>
      </c>
      <c r="B272" s="18" t="s">
        <v>290</v>
      </c>
      <c r="C272" s="2">
        <v>2913</v>
      </c>
      <c r="D272" s="3">
        <v>0</v>
      </c>
      <c r="E272" s="4">
        <f t="shared" si="4"/>
        <v>2913</v>
      </c>
      <c r="F272" s="3"/>
      <c r="G272" s="5"/>
      <c r="H272" s="4"/>
      <c r="I272" s="2"/>
      <c r="J272" s="3"/>
      <c r="K272" s="7"/>
    </row>
    <row r="273" spans="1:11">
      <c r="A273" s="4">
        <v>883</v>
      </c>
      <c r="B273" s="18" t="s">
        <v>291</v>
      </c>
      <c r="C273" s="2">
        <v>2220</v>
      </c>
      <c r="D273" s="3">
        <v>7</v>
      </c>
      <c r="E273" s="4">
        <f t="shared" si="4"/>
        <v>2227</v>
      </c>
      <c r="F273" s="3">
        <v>521.4</v>
      </c>
      <c r="G273" s="5">
        <v>521.4</v>
      </c>
      <c r="H273" s="4"/>
      <c r="I273" s="2"/>
      <c r="J273" s="3"/>
      <c r="K273" s="7"/>
    </row>
    <row r="274" spans="1:11">
      <c r="A274" s="4">
        <v>884</v>
      </c>
      <c r="B274" s="18" t="s">
        <v>292</v>
      </c>
      <c r="C274" s="2">
        <v>2100</v>
      </c>
      <c r="D274" s="3">
        <v>23</v>
      </c>
      <c r="E274" s="4">
        <f t="shared" si="4"/>
        <v>2123</v>
      </c>
      <c r="F274" s="3">
        <v>521.4</v>
      </c>
      <c r="G274" s="5">
        <v>521.4</v>
      </c>
      <c r="H274" s="4"/>
      <c r="I274" s="2"/>
      <c r="J274" s="3"/>
      <c r="K274" s="7"/>
    </row>
    <row r="275" spans="1:11">
      <c r="A275" s="4">
        <v>885</v>
      </c>
      <c r="B275" s="18" t="s">
        <v>293</v>
      </c>
      <c r="C275" s="2">
        <v>1850</v>
      </c>
      <c r="D275" s="3">
        <v>55</v>
      </c>
      <c r="E275" s="4">
        <f t="shared" si="4"/>
        <v>1905</v>
      </c>
      <c r="F275" s="3">
        <v>434.5</v>
      </c>
      <c r="G275" s="5">
        <v>434.5</v>
      </c>
      <c r="H275" s="4"/>
      <c r="I275" s="2"/>
      <c r="J275" s="3"/>
      <c r="K275" s="7"/>
    </row>
    <row r="276" spans="1:11">
      <c r="A276" s="4">
        <v>886</v>
      </c>
      <c r="B276" s="18" t="s">
        <v>294</v>
      </c>
      <c r="C276" s="2">
        <v>1850</v>
      </c>
      <c r="D276" s="3">
        <v>55</v>
      </c>
      <c r="E276" s="4">
        <f t="shared" si="4"/>
        <v>1905</v>
      </c>
      <c r="F276" s="3">
        <v>434.5</v>
      </c>
      <c r="G276" s="5">
        <v>434.5</v>
      </c>
      <c r="H276" s="4"/>
      <c r="I276" s="2"/>
      <c r="J276" s="3"/>
      <c r="K276" s="7"/>
    </row>
    <row r="277" spans="1:11">
      <c r="A277" s="4">
        <v>887</v>
      </c>
      <c r="B277" s="18" t="s">
        <v>295</v>
      </c>
      <c r="C277" s="2">
        <v>1580</v>
      </c>
      <c r="D277" s="3">
        <v>90</v>
      </c>
      <c r="E277" s="4">
        <f t="shared" si="4"/>
        <v>1670</v>
      </c>
      <c r="F277" s="3">
        <v>347.6</v>
      </c>
      <c r="G277" s="5">
        <v>347.6</v>
      </c>
      <c r="H277" s="4"/>
      <c r="I277" s="2"/>
      <c r="J277" s="3"/>
      <c r="K277" s="7"/>
    </row>
    <row r="278" spans="1:11">
      <c r="A278" s="4">
        <v>888</v>
      </c>
      <c r="B278" s="18" t="s">
        <v>296</v>
      </c>
      <c r="C278" s="2">
        <v>1564</v>
      </c>
      <c r="D278" s="3">
        <v>93</v>
      </c>
      <c r="E278" s="4">
        <f t="shared" si="4"/>
        <v>1657</v>
      </c>
      <c r="F278" s="3">
        <v>347.6</v>
      </c>
      <c r="G278" s="5">
        <v>347.6</v>
      </c>
      <c r="H278" s="4"/>
      <c r="I278" s="2"/>
      <c r="J278" s="3"/>
      <c r="K278" s="7"/>
    </row>
    <row r="279" spans="1:11">
      <c r="A279" s="4">
        <v>889</v>
      </c>
      <c r="B279" s="18" t="s">
        <v>297</v>
      </c>
      <c r="C279" s="2">
        <v>1250</v>
      </c>
      <c r="D279" s="3">
        <v>134</v>
      </c>
      <c r="E279" s="4">
        <f t="shared" si="4"/>
        <v>1384</v>
      </c>
      <c r="F279" s="3"/>
      <c r="G279" s="5"/>
      <c r="H279" s="4"/>
      <c r="I279" s="2"/>
      <c r="J279" s="3"/>
      <c r="K279" s="7"/>
    </row>
    <row r="280" spans="1:11">
      <c r="A280" s="4">
        <v>890</v>
      </c>
      <c r="B280" s="18" t="s">
        <v>298</v>
      </c>
      <c r="C280" s="2">
        <v>971</v>
      </c>
      <c r="D280" s="3">
        <v>414.7</v>
      </c>
      <c r="E280" s="4">
        <f t="shared" si="4"/>
        <v>1385.7</v>
      </c>
      <c r="F280" s="3"/>
      <c r="G280" s="5"/>
      <c r="H280" s="4"/>
      <c r="I280" s="2"/>
      <c r="J280" s="3"/>
      <c r="K280" s="7"/>
    </row>
    <row r="281" spans="1:11">
      <c r="A281" s="4">
        <v>891</v>
      </c>
      <c r="B281" s="18" t="s">
        <v>299</v>
      </c>
      <c r="C281" s="2">
        <v>971</v>
      </c>
      <c r="D281" s="3">
        <v>414.7</v>
      </c>
      <c r="E281" s="4">
        <f t="shared" si="4"/>
        <v>1385.7</v>
      </c>
      <c r="F281" s="3"/>
      <c r="G281" s="5"/>
      <c r="H281" s="4"/>
      <c r="I281" s="2"/>
      <c r="J281" s="3"/>
      <c r="K281" s="7"/>
    </row>
    <row r="282" spans="1:11">
      <c r="A282" s="4">
        <v>892</v>
      </c>
      <c r="B282" s="18" t="s">
        <v>300</v>
      </c>
      <c r="C282" s="2">
        <v>951</v>
      </c>
      <c r="D282" s="3">
        <v>414.7</v>
      </c>
      <c r="E282" s="4">
        <f t="shared" si="4"/>
        <v>1365.7</v>
      </c>
      <c r="F282" s="3"/>
      <c r="G282" s="5"/>
      <c r="H282" s="4"/>
      <c r="I282" s="2"/>
      <c r="J282" s="3"/>
      <c r="K282" s="7"/>
    </row>
    <row r="283" spans="1:11">
      <c r="A283" s="4">
        <v>893</v>
      </c>
      <c r="B283" s="18" t="s">
        <v>301</v>
      </c>
      <c r="C283" s="2">
        <v>922</v>
      </c>
      <c r="D283" s="3">
        <v>414.7</v>
      </c>
      <c r="E283" s="4">
        <f t="shared" si="4"/>
        <v>1336.7</v>
      </c>
      <c r="F283" s="3"/>
      <c r="G283" s="5"/>
      <c r="H283" s="4"/>
      <c r="I283" s="2"/>
      <c r="J283" s="3"/>
      <c r="K283" s="7"/>
    </row>
    <row r="284" spans="1:11">
      <c r="A284" s="4">
        <v>903</v>
      </c>
      <c r="B284" s="18" t="s">
        <v>302</v>
      </c>
      <c r="C284" s="2">
        <v>971</v>
      </c>
      <c r="D284" s="3">
        <v>414.7</v>
      </c>
      <c r="E284" s="4">
        <f t="shared" si="4"/>
        <v>1385.7</v>
      </c>
      <c r="F284" s="3"/>
      <c r="G284" s="5"/>
      <c r="H284" s="4">
        <v>150</v>
      </c>
      <c r="I284" s="2"/>
      <c r="J284" s="3"/>
      <c r="K284" s="7"/>
    </row>
    <row r="285" spans="1:11">
      <c r="A285" s="4">
        <v>904</v>
      </c>
      <c r="B285" s="18" t="s">
        <v>303</v>
      </c>
      <c r="C285" s="2">
        <v>971</v>
      </c>
      <c r="D285" s="3">
        <v>414.7</v>
      </c>
      <c r="E285" s="4">
        <f t="shared" si="4"/>
        <v>1385.7</v>
      </c>
      <c r="F285" s="3"/>
      <c r="G285" s="5"/>
      <c r="H285" s="4">
        <v>150</v>
      </c>
      <c r="I285" s="2"/>
      <c r="J285" s="3"/>
      <c r="K285" s="7"/>
    </row>
    <row r="286" spans="1:11">
      <c r="A286" s="4">
        <v>905</v>
      </c>
      <c r="B286" s="18" t="s">
        <v>304</v>
      </c>
      <c r="C286" s="2">
        <v>971</v>
      </c>
      <c r="D286" s="3">
        <v>414.7</v>
      </c>
      <c r="E286" s="4">
        <f t="shared" si="4"/>
        <v>1385.7</v>
      </c>
      <c r="F286" s="3"/>
      <c r="G286" s="5"/>
      <c r="H286" s="4">
        <v>150</v>
      </c>
      <c r="I286" s="2"/>
      <c r="J286" s="3"/>
      <c r="K286" s="7"/>
    </row>
    <row r="287" spans="1:11">
      <c r="A287" s="4">
        <v>906</v>
      </c>
      <c r="B287" s="18" t="s">
        <v>305</v>
      </c>
      <c r="C287" s="2">
        <v>1942</v>
      </c>
      <c r="D287" s="3">
        <v>43</v>
      </c>
      <c r="E287" s="4">
        <f t="shared" si="4"/>
        <v>1985</v>
      </c>
      <c r="F287" s="3">
        <v>517.29999999999995</v>
      </c>
      <c r="G287" s="5">
        <v>647</v>
      </c>
      <c r="H287" s="4"/>
      <c r="I287" s="2"/>
      <c r="J287" s="8">
        <v>782</v>
      </c>
      <c r="K287" s="7"/>
    </row>
    <row r="288" spans="1:11">
      <c r="A288" s="4">
        <v>907</v>
      </c>
      <c r="B288" s="18" t="s">
        <v>306</v>
      </c>
      <c r="C288" s="2">
        <v>1782</v>
      </c>
      <c r="D288" s="3">
        <v>64</v>
      </c>
      <c r="E288" s="4">
        <f t="shared" si="4"/>
        <v>1846</v>
      </c>
      <c r="F288" s="3">
        <v>465.3</v>
      </c>
      <c r="G288" s="5">
        <v>582</v>
      </c>
      <c r="H288" s="4"/>
      <c r="I288" s="2"/>
      <c r="J288" s="8">
        <v>782</v>
      </c>
      <c r="K288" s="7"/>
    </row>
    <row r="289" spans="1:11">
      <c r="A289" s="4">
        <v>908</v>
      </c>
      <c r="B289" s="18" t="s">
        <v>307</v>
      </c>
      <c r="C289" s="2">
        <v>1692</v>
      </c>
      <c r="D289" s="3">
        <v>76</v>
      </c>
      <c r="E289" s="4">
        <f t="shared" si="4"/>
        <v>1768</v>
      </c>
      <c r="F289" s="3">
        <v>362.7</v>
      </c>
      <c r="G289" s="5" t="s">
        <v>79</v>
      </c>
      <c r="H289" s="4"/>
      <c r="I289" s="2"/>
      <c r="J289" s="3"/>
      <c r="K289" s="7"/>
    </row>
    <row r="290" spans="1:11">
      <c r="A290" s="4">
        <v>909</v>
      </c>
      <c r="B290" s="18" t="s">
        <v>308</v>
      </c>
      <c r="C290" s="2">
        <v>1592</v>
      </c>
      <c r="D290" s="3">
        <v>89</v>
      </c>
      <c r="E290" s="4">
        <f t="shared" si="4"/>
        <v>1681</v>
      </c>
      <c r="F290" s="3">
        <v>465.3</v>
      </c>
      <c r="G290" s="5">
        <v>388</v>
      </c>
      <c r="H290" s="4"/>
      <c r="I290" s="2"/>
      <c r="J290" s="3"/>
      <c r="K290" s="7"/>
    </row>
    <row r="291" spans="1:11">
      <c r="A291" s="4">
        <v>910</v>
      </c>
      <c r="B291" s="18" t="s">
        <v>309</v>
      </c>
      <c r="C291" s="2">
        <v>1942</v>
      </c>
      <c r="D291" s="3">
        <v>43</v>
      </c>
      <c r="E291" s="4">
        <f t="shared" si="4"/>
        <v>1985</v>
      </c>
      <c r="F291" s="3">
        <v>517.29999999999995</v>
      </c>
      <c r="G291" s="5">
        <v>647</v>
      </c>
      <c r="H291" s="4">
        <v>150</v>
      </c>
      <c r="I291" s="2"/>
      <c r="J291" s="3"/>
      <c r="K291" s="7"/>
    </row>
    <row r="292" spans="1:11">
      <c r="A292" s="4">
        <v>911</v>
      </c>
      <c r="B292" s="18" t="s">
        <v>310</v>
      </c>
      <c r="C292" s="2">
        <v>1592</v>
      </c>
      <c r="D292" s="3">
        <v>89</v>
      </c>
      <c r="E292" s="4">
        <f t="shared" si="4"/>
        <v>1681</v>
      </c>
      <c r="F292" s="3">
        <v>466.7</v>
      </c>
      <c r="G292" s="5">
        <v>582</v>
      </c>
      <c r="H292" s="4"/>
      <c r="I292" s="2"/>
      <c r="J292" s="3"/>
      <c r="K292" s="7"/>
    </row>
    <row r="293" spans="1:11">
      <c r="A293" s="4">
        <v>912</v>
      </c>
      <c r="B293" s="18" t="s">
        <v>311</v>
      </c>
      <c r="C293" s="2">
        <v>1782</v>
      </c>
      <c r="D293" s="3">
        <v>64</v>
      </c>
      <c r="E293" s="4">
        <f t="shared" si="4"/>
        <v>1846</v>
      </c>
      <c r="F293" s="3">
        <v>465.3</v>
      </c>
      <c r="G293" s="5">
        <v>582</v>
      </c>
      <c r="H293" s="4">
        <v>17</v>
      </c>
      <c r="I293" s="2"/>
      <c r="J293" s="3"/>
      <c r="K293" s="7"/>
    </row>
    <row r="294" spans="1:11">
      <c r="A294" s="4">
        <v>913</v>
      </c>
      <c r="B294" s="18" t="s">
        <v>312</v>
      </c>
      <c r="C294" s="2">
        <v>1700</v>
      </c>
      <c r="D294" s="3">
        <v>75</v>
      </c>
      <c r="E294" s="4">
        <f t="shared" si="4"/>
        <v>1775</v>
      </c>
      <c r="F294" s="3">
        <v>413.3</v>
      </c>
      <c r="G294" s="5">
        <v>516</v>
      </c>
      <c r="H294" s="4"/>
      <c r="I294" s="2"/>
      <c r="J294" s="8">
        <v>769</v>
      </c>
      <c r="K294" s="7"/>
    </row>
    <row r="295" spans="1:11">
      <c r="A295" s="4">
        <v>914</v>
      </c>
      <c r="B295" s="18" t="s">
        <v>313</v>
      </c>
      <c r="C295" s="2">
        <v>1600</v>
      </c>
      <c r="D295" s="3">
        <v>88</v>
      </c>
      <c r="E295" s="4">
        <f t="shared" si="4"/>
        <v>1688</v>
      </c>
      <c r="F295" s="3">
        <v>309.3</v>
      </c>
      <c r="G295" s="5">
        <v>388</v>
      </c>
      <c r="H295" s="4"/>
      <c r="I295" s="2"/>
      <c r="J295" s="8">
        <v>738</v>
      </c>
      <c r="K295" s="7"/>
    </row>
    <row r="296" spans="1:11">
      <c r="A296" s="4">
        <v>915</v>
      </c>
      <c r="B296" s="18" t="s">
        <v>314</v>
      </c>
      <c r="C296" s="2">
        <v>1700</v>
      </c>
      <c r="D296" s="3">
        <v>75</v>
      </c>
      <c r="E296" s="4">
        <f t="shared" si="4"/>
        <v>1775</v>
      </c>
      <c r="F296" s="3">
        <v>310.7</v>
      </c>
      <c r="G296" s="5">
        <v>388</v>
      </c>
      <c r="H296" s="4">
        <v>150</v>
      </c>
      <c r="I296" s="2"/>
      <c r="J296" s="3"/>
      <c r="K296" s="7"/>
    </row>
    <row r="297" spans="1:11">
      <c r="A297" s="4">
        <v>916</v>
      </c>
      <c r="B297" s="18" t="s">
        <v>315</v>
      </c>
      <c r="C297" s="2">
        <v>1300</v>
      </c>
      <c r="D297" s="3">
        <v>127</v>
      </c>
      <c r="E297" s="4">
        <f t="shared" si="4"/>
        <v>1427</v>
      </c>
      <c r="F297" s="3">
        <v>310.7</v>
      </c>
      <c r="G297" s="5">
        <v>388</v>
      </c>
      <c r="H297" s="4"/>
      <c r="I297" s="2"/>
      <c r="J297" s="3"/>
      <c r="K297" s="7"/>
    </row>
    <row r="298" spans="1:11">
      <c r="A298" s="4">
        <v>917</v>
      </c>
      <c r="B298" s="18" t="s">
        <v>182</v>
      </c>
      <c r="C298" s="2">
        <v>971</v>
      </c>
      <c r="D298" s="3">
        <v>414.7</v>
      </c>
      <c r="E298" s="4">
        <f t="shared" si="4"/>
        <v>1385.7</v>
      </c>
      <c r="F298" s="3"/>
      <c r="G298" s="5"/>
      <c r="H298" s="4"/>
      <c r="I298" s="2"/>
      <c r="J298" s="3"/>
      <c r="K298" s="7"/>
    </row>
    <row r="299" spans="1:11">
      <c r="A299" s="4">
        <v>918</v>
      </c>
      <c r="B299" s="18" t="s">
        <v>316</v>
      </c>
      <c r="C299" s="2">
        <v>971</v>
      </c>
      <c r="D299" s="3">
        <v>414.7</v>
      </c>
      <c r="E299" s="4">
        <f t="shared" si="4"/>
        <v>1385.7</v>
      </c>
      <c r="F299" s="3"/>
      <c r="G299" s="5"/>
      <c r="H299" s="4">
        <v>150</v>
      </c>
      <c r="I299" s="2"/>
      <c r="J299" s="3"/>
      <c r="K299" s="7"/>
    </row>
    <row r="300" spans="1:11">
      <c r="A300" s="4">
        <v>919</v>
      </c>
      <c r="B300" s="18" t="s">
        <v>317</v>
      </c>
      <c r="C300" s="2">
        <v>971</v>
      </c>
      <c r="D300" s="3">
        <v>414.7</v>
      </c>
      <c r="E300" s="4">
        <f t="shared" si="4"/>
        <v>1385.7</v>
      </c>
      <c r="F300" s="3"/>
      <c r="G300" s="5"/>
      <c r="H300" s="4">
        <v>17</v>
      </c>
      <c r="I300" s="2"/>
      <c r="J300" s="3"/>
      <c r="K300" s="7"/>
    </row>
    <row r="301" spans="1:11">
      <c r="A301" s="4">
        <v>920</v>
      </c>
      <c r="B301" s="18" t="s">
        <v>318</v>
      </c>
      <c r="C301" s="2">
        <v>971</v>
      </c>
      <c r="D301" s="3">
        <v>414.7</v>
      </c>
      <c r="E301" s="4">
        <f t="shared" ref="E301:E340" si="5">C301+D301</f>
        <v>1385.7</v>
      </c>
      <c r="F301" s="3"/>
      <c r="G301" s="5"/>
      <c r="H301" s="4">
        <v>150</v>
      </c>
      <c r="I301" s="2"/>
      <c r="J301" s="3"/>
      <c r="K301" s="7"/>
    </row>
    <row r="302" spans="1:11">
      <c r="A302" s="4">
        <v>921</v>
      </c>
      <c r="B302" s="18" t="s">
        <v>319</v>
      </c>
      <c r="C302" s="2">
        <v>971</v>
      </c>
      <c r="D302" s="3">
        <v>414.7</v>
      </c>
      <c r="E302" s="4">
        <f t="shared" si="5"/>
        <v>1385.7</v>
      </c>
      <c r="F302" s="3"/>
      <c r="G302" s="5"/>
      <c r="H302" s="4"/>
      <c r="I302" s="2"/>
      <c r="J302" s="3"/>
      <c r="K302" s="7"/>
    </row>
    <row r="303" spans="1:11">
      <c r="A303" s="4">
        <v>922</v>
      </c>
      <c r="B303" s="18" t="s">
        <v>320</v>
      </c>
      <c r="C303" s="2">
        <v>971</v>
      </c>
      <c r="D303" s="3">
        <v>414.7</v>
      </c>
      <c r="E303" s="4">
        <f t="shared" si="5"/>
        <v>1385.7</v>
      </c>
      <c r="F303" s="3"/>
      <c r="G303" s="5"/>
      <c r="H303" s="4"/>
      <c r="I303" s="2"/>
      <c r="J303" s="3"/>
      <c r="K303" s="7"/>
    </row>
    <row r="304" spans="1:11">
      <c r="A304" s="4">
        <v>923</v>
      </c>
      <c r="B304" s="18" t="s">
        <v>321</v>
      </c>
      <c r="C304" s="2">
        <v>971</v>
      </c>
      <c r="D304" s="3">
        <v>414.7</v>
      </c>
      <c r="E304" s="4">
        <f t="shared" si="5"/>
        <v>1385.7</v>
      </c>
      <c r="F304" s="3"/>
      <c r="G304" s="5"/>
      <c r="H304" s="4"/>
      <c r="I304" s="2"/>
      <c r="J304" s="3"/>
      <c r="K304" s="7"/>
    </row>
    <row r="305" spans="1:11" ht="25.5">
      <c r="A305" s="4">
        <v>924</v>
      </c>
      <c r="B305" s="18" t="s">
        <v>322</v>
      </c>
      <c r="C305" s="2">
        <v>971</v>
      </c>
      <c r="D305" s="3">
        <v>414.7</v>
      </c>
      <c r="E305" s="4">
        <f t="shared" si="5"/>
        <v>1385.7</v>
      </c>
      <c r="F305" s="3"/>
      <c r="G305" s="5"/>
      <c r="H305" s="4">
        <v>150</v>
      </c>
      <c r="I305" s="2"/>
      <c r="J305" s="3"/>
      <c r="K305" s="7"/>
    </row>
    <row r="306" spans="1:11">
      <c r="A306" s="4">
        <v>925</v>
      </c>
      <c r="B306" s="18" t="s">
        <v>97</v>
      </c>
      <c r="C306" s="2">
        <v>971</v>
      </c>
      <c r="D306" s="3">
        <v>414.7</v>
      </c>
      <c r="E306" s="4">
        <f t="shared" si="5"/>
        <v>1385.7</v>
      </c>
      <c r="F306" s="3"/>
      <c r="G306" s="5"/>
      <c r="H306" s="4"/>
      <c r="I306" s="2"/>
      <c r="J306" s="3"/>
      <c r="K306" s="7"/>
    </row>
    <row r="307" spans="1:11">
      <c r="A307" s="4">
        <v>926</v>
      </c>
      <c r="B307" s="18" t="s">
        <v>323</v>
      </c>
      <c r="C307" s="2">
        <v>1500</v>
      </c>
      <c r="D307" s="3">
        <v>101</v>
      </c>
      <c r="E307" s="4">
        <f t="shared" si="5"/>
        <v>1601</v>
      </c>
      <c r="F307" s="3"/>
      <c r="G307" s="5"/>
      <c r="H307" s="4">
        <v>150</v>
      </c>
      <c r="I307" s="2"/>
      <c r="J307" s="3"/>
      <c r="K307" s="7"/>
    </row>
    <row r="308" spans="1:11">
      <c r="A308" s="4">
        <v>927</v>
      </c>
      <c r="B308" s="18" t="s">
        <v>324</v>
      </c>
      <c r="C308" s="2">
        <v>1500</v>
      </c>
      <c r="D308" s="3">
        <v>101</v>
      </c>
      <c r="E308" s="4">
        <f t="shared" si="5"/>
        <v>1601</v>
      </c>
      <c r="F308" s="3"/>
      <c r="G308" s="5"/>
      <c r="H308" s="4">
        <v>150</v>
      </c>
      <c r="I308" s="2"/>
      <c r="J308" s="3"/>
      <c r="K308" s="7"/>
    </row>
    <row r="309" spans="1:11">
      <c r="A309" s="4">
        <v>928</v>
      </c>
      <c r="B309" s="18" t="s">
        <v>325</v>
      </c>
      <c r="C309" s="2">
        <v>1500</v>
      </c>
      <c r="D309" s="3">
        <v>101</v>
      </c>
      <c r="E309" s="4">
        <f t="shared" si="5"/>
        <v>1601</v>
      </c>
      <c r="F309" s="3"/>
      <c r="G309" s="5"/>
      <c r="H309" s="4">
        <v>150</v>
      </c>
      <c r="I309" s="2"/>
      <c r="J309" s="3"/>
      <c r="K309" s="7"/>
    </row>
    <row r="310" spans="1:11">
      <c r="A310" s="4">
        <v>929</v>
      </c>
      <c r="B310" s="18" t="s">
        <v>326</v>
      </c>
      <c r="C310" s="2">
        <v>971</v>
      </c>
      <c r="D310" s="3">
        <v>414.7</v>
      </c>
      <c r="E310" s="4">
        <f t="shared" si="5"/>
        <v>1385.7</v>
      </c>
      <c r="F310" s="3"/>
      <c r="G310" s="5"/>
      <c r="H310" s="4">
        <v>150</v>
      </c>
      <c r="I310" s="2"/>
      <c r="J310" s="3"/>
      <c r="K310" s="7"/>
    </row>
    <row r="311" spans="1:11">
      <c r="A311" s="4">
        <v>930</v>
      </c>
      <c r="B311" s="18" t="s">
        <v>327</v>
      </c>
      <c r="C311" s="2">
        <v>1592</v>
      </c>
      <c r="D311" s="3">
        <v>89</v>
      </c>
      <c r="E311" s="4">
        <f t="shared" si="5"/>
        <v>1681</v>
      </c>
      <c r="F311" s="3">
        <v>310.7</v>
      </c>
      <c r="G311" s="5" t="s">
        <v>68</v>
      </c>
      <c r="H311" s="4"/>
      <c r="I311" s="2"/>
      <c r="J311" s="3"/>
      <c r="K311" s="7"/>
    </row>
    <row r="312" spans="1:11">
      <c r="A312" s="4">
        <v>931</v>
      </c>
      <c r="B312" s="18" t="s">
        <v>328</v>
      </c>
      <c r="C312" s="2">
        <v>971</v>
      </c>
      <c r="D312" s="3">
        <v>414.7</v>
      </c>
      <c r="E312" s="4">
        <f t="shared" si="5"/>
        <v>1385.7</v>
      </c>
      <c r="F312" s="3"/>
      <c r="G312" s="5"/>
      <c r="H312" s="4"/>
      <c r="I312" s="2"/>
      <c r="J312" s="3"/>
      <c r="K312" s="7"/>
    </row>
    <row r="313" spans="1:11">
      <c r="A313" s="4">
        <v>932</v>
      </c>
      <c r="B313" s="18" t="s">
        <v>329</v>
      </c>
      <c r="C313" s="11">
        <v>2220</v>
      </c>
      <c r="D313" s="3">
        <v>7</v>
      </c>
      <c r="E313" s="4">
        <f t="shared" si="5"/>
        <v>2227</v>
      </c>
      <c r="F313" s="3">
        <v>521.4</v>
      </c>
      <c r="G313" s="5"/>
      <c r="H313" s="4"/>
      <c r="I313" s="2"/>
      <c r="J313" s="3"/>
      <c r="K313" s="7"/>
    </row>
    <row r="314" spans="1:11">
      <c r="A314" s="4">
        <v>933</v>
      </c>
      <c r="B314" s="18" t="s">
        <v>330</v>
      </c>
      <c r="C314" s="11">
        <v>1580</v>
      </c>
      <c r="D314" s="3">
        <v>90</v>
      </c>
      <c r="E314" s="4">
        <f t="shared" si="5"/>
        <v>1670</v>
      </c>
      <c r="F314" s="3">
        <v>347.6</v>
      </c>
      <c r="G314" s="5"/>
      <c r="H314" s="4"/>
      <c r="I314" s="2"/>
      <c r="J314" s="3"/>
      <c r="K314" s="7"/>
    </row>
    <row r="315" spans="1:11">
      <c r="A315" s="4">
        <v>934</v>
      </c>
      <c r="B315" s="18" t="s">
        <v>331</v>
      </c>
      <c r="C315" s="11">
        <v>1480</v>
      </c>
      <c r="D315" s="3">
        <v>104</v>
      </c>
      <c r="E315" s="4">
        <f t="shared" si="5"/>
        <v>1584</v>
      </c>
      <c r="F315" s="3"/>
      <c r="G315" s="5"/>
      <c r="H315" s="4"/>
      <c r="I315" s="2"/>
      <c r="J315" s="3"/>
      <c r="K315" s="7"/>
    </row>
    <row r="316" spans="1:11">
      <c r="A316" s="4">
        <v>935</v>
      </c>
      <c r="B316" s="18" t="s">
        <v>332</v>
      </c>
      <c r="C316" s="2">
        <v>971</v>
      </c>
      <c r="D316" s="3">
        <v>414.7</v>
      </c>
      <c r="E316" s="4">
        <f t="shared" si="5"/>
        <v>1385.7</v>
      </c>
      <c r="F316" s="3"/>
      <c r="G316" s="5"/>
      <c r="H316" s="4"/>
      <c r="I316" s="2"/>
      <c r="J316" s="3"/>
      <c r="K316" s="7"/>
    </row>
    <row r="317" spans="1:11">
      <c r="A317" s="4">
        <v>936</v>
      </c>
      <c r="B317" s="18" t="s">
        <v>333</v>
      </c>
      <c r="C317" s="11">
        <v>1250</v>
      </c>
      <c r="D317" s="3">
        <v>134</v>
      </c>
      <c r="E317" s="4">
        <f t="shared" si="5"/>
        <v>1384</v>
      </c>
      <c r="F317" s="3"/>
      <c r="G317" s="5"/>
      <c r="H317" s="4"/>
      <c r="I317" s="2"/>
      <c r="J317" s="3"/>
      <c r="K317" s="7"/>
    </row>
    <row r="318" spans="1:11">
      <c r="A318" s="4">
        <v>937</v>
      </c>
      <c r="B318" s="18" t="s">
        <v>334</v>
      </c>
      <c r="C318" s="11">
        <v>971</v>
      </c>
      <c r="D318" s="3">
        <v>414.7</v>
      </c>
      <c r="E318" s="4">
        <f t="shared" si="5"/>
        <v>1385.7</v>
      </c>
      <c r="F318" s="3"/>
      <c r="G318" s="5"/>
      <c r="H318" s="4"/>
      <c r="I318" s="2"/>
      <c r="J318" s="3"/>
      <c r="K318" s="7"/>
    </row>
    <row r="319" spans="1:11" ht="25.5">
      <c r="A319" s="4">
        <v>938</v>
      </c>
      <c r="B319" s="18" t="s">
        <v>335</v>
      </c>
      <c r="C319" s="2">
        <v>971</v>
      </c>
      <c r="D319" s="3">
        <v>414.7</v>
      </c>
      <c r="E319" s="4">
        <f t="shared" si="5"/>
        <v>1385.7</v>
      </c>
      <c r="F319" s="3"/>
      <c r="G319" s="5"/>
      <c r="H319" s="4">
        <v>150</v>
      </c>
      <c r="I319" s="2"/>
      <c r="J319" s="3"/>
      <c r="K319" s="7"/>
    </row>
    <row r="320" spans="1:11" ht="25.5">
      <c r="A320" s="4">
        <v>939</v>
      </c>
      <c r="B320" s="18" t="s">
        <v>336</v>
      </c>
      <c r="C320" s="2">
        <v>971</v>
      </c>
      <c r="D320" s="3">
        <v>414.7</v>
      </c>
      <c r="E320" s="4">
        <f t="shared" si="5"/>
        <v>1385.7</v>
      </c>
      <c r="F320" s="3"/>
      <c r="G320" s="5"/>
      <c r="H320" s="4">
        <v>150</v>
      </c>
      <c r="I320" s="2"/>
      <c r="J320" s="3"/>
      <c r="K320" s="7"/>
    </row>
    <row r="321" spans="1:11">
      <c r="A321" s="4">
        <v>940</v>
      </c>
      <c r="B321" s="18" t="s">
        <v>337</v>
      </c>
      <c r="C321" s="2">
        <v>1692</v>
      </c>
      <c r="D321" s="3">
        <v>76</v>
      </c>
      <c r="E321" s="4">
        <f t="shared" si="5"/>
        <v>1768</v>
      </c>
      <c r="F321" s="3">
        <v>362.7</v>
      </c>
      <c r="G321" s="5" t="s">
        <v>79</v>
      </c>
      <c r="H321" s="4"/>
      <c r="I321" s="2"/>
      <c r="J321" s="3"/>
      <c r="K321" s="7"/>
    </row>
    <row r="322" spans="1:11">
      <c r="A322" s="4">
        <v>941</v>
      </c>
      <c r="B322" s="18" t="s">
        <v>338</v>
      </c>
      <c r="C322" s="2">
        <v>1942</v>
      </c>
      <c r="D322" s="3">
        <v>43</v>
      </c>
      <c r="E322" s="4">
        <f t="shared" si="5"/>
        <v>1985</v>
      </c>
      <c r="F322" s="3">
        <v>517.29999999999995</v>
      </c>
      <c r="G322" s="5" t="s">
        <v>74</v>
      </c>
      <c r="H322" s="4"/>
      <c r="I322" s="2"/>
      <c r="J322" s="3"/>
      <c r="K322" s="7"/>
    </row>
    <row r="323" spans="1:11">
      <c r="A323" s="4">
        <v>942</v>
      </c>
      <c r="B323" s="18" t="s">
        <v>339</v>
      </c>
      <c r="C323" s="2">
        <v>1782</v>
      </c>
      <c r="D323" s="3">
        <v>64</v>
      </c>
      <c r="E323" s="4">
        <f t="shared" si="5"/>
        <v>1846</v>
      </c>
      <c r="F323" s="3">
        <v>465.3</v>
      </c>
      <c r="G323" s="5" t="s">
        <v>77</v>
      </c>
      <c r="H323" s="4"/>
      <c r="I323" s="2"/>
      <c r="J323" s="3"/>
      <c r="K323" s="7"/>
    </row>
    <row r="324" spans="1:11">
      <c r="A324" s="4">
        <v>943</v>
      </c>
      <c r="B324" s="18" t="s">
        <v>340</v>
      </c>
      <c r="C324" s="2">
        <v>1500</v>
      </c>
      <c r="D324" s="3">
        <v>101</v>
      </c>
      <c r="E324" s="4">
        <f t="shared" si="5"/>
        <v>1601</v>
      </c>
      <c r="F324" s="3"/>
      <c r="G324" s="5"/>
      <c r="H324" s="4">
        <v>150</v>
      </c>
      <c r="I324" s="2"/>
      <c r="J324" s="3"/>
      <c r="K324" s="7"/>
    </row>
    <row r="325" spans="1:11">
      <c r="A325" s="4">
        <v>944</v>
      </c>
      <c r="B325" s="18" t="s">
        <v>341</v>
      </c>
      <c r="C325" s="2">
        <v>1400</v>
      </c>
      <c r="D325" s="3">
        <v>114</v>
      </c>
      <c r="E325" s="4">
        <f t="shared" si="5"/>
        <v>1514</v>
      </c>
      <c r="F325" s="3">
        <v>310.7</v>
      </c>
      <c r="G325" s="5" t="s">
        <v>68</v>
      </c>
      <c r="H325" s="4"/>
      <c r="I325" s="2"/>
      <c r="J325" s="3"/>
      <c r="K325" s="7"/>
    </row>
    <row r="326" spans="1:11">
      <c r="A326" s="4">
        <v>945</v>
      </c>
      <c r="B326" s="18" t="s">
        <v>342</v>
      </c>
      <c r="C326" s="2">
        <v>1782</v>
      </c>
      <c r="D326" s="3">
        <v>64</v>
      </c>
      <c r="E326" s="4">
        <f t="shared" si="5"/>
        <v>1846</v>
      </c>
      <c r="F326" s="3">
        <v>310.7</v>
      </c>
      <c r="G326" s="5" t="s">
        <v>68</v>
      </c>
      <c r="H326" s="4"/>
      <c r="I326" s="2">
        <v>669</v>
      </c>
      <c r="J326" s="3"/>
      <c r="K326" s="7"/>
    </row>
    <row r="327" spans="1:11">
      <c r="A327" s="4">
        <v>946</v>
      </c>
      <c r="B327" s="18" t="s">
        <v>343</v>
      </c>
      <c r="C327" s="2">
        <v>971</v>
      </c>
      <c r="D327" s="3">
        <v>214</v>
      </c>
      <c r="E327" s="4">
        <f t="shared" si="5"/>
        <v>1185</v>
      </c>
      <c r="F327" s="3"/>
      <c r="G327" s="5"/>
      <c r="H327" s="4"/>
      <c r="I327" s="2">
        <v>620</v>
      </c>
      <c r="J327" s="3"/>
      <c r="K327" s="7"/>
    </row>
    <row r="328" spans="1:11" ht="25.5">
      <c r="A328" s="4">
        <v>947</v>
      </c>
      <c r="B328" s="18" t="s">
        <v>344</v>
      </c>
      <c r="C328" s="2">
        <v>971</v>
      </c>
      <c r="D328" s="3">
        <v>214</v>
      </c>
      <c r="E328" s="4">
        <f t="shared" si="5"/>
        <v>1185</v>
      </c>
      <c r="F328" s="3"/>
      <c r="G328" s="5"/>
      <c r="H328" s="4"/>
      <c r="I328" s="2">
        <v>155</v>
      </c>
      <c r="J328" s="3"/>
      <c r="K328" s="7"/>
    </row>
    <row r="329" spans="1:11">
      <c r="A329" s="4">
        <v>948</v>
      </c>
      <c r="B329" s="18" t="s">
        <v>345</v>
      </c>
      <c r="C329" s="2">
        <v>1300</v>
      </c>
      <c r="D329" s="3">
        <v>127</v>
      </c>
      <c r="E329" s="4">
        <f t="shared" si="5"/>
        <v>1427</v>
      </c>
      <c r="F329" s="3">
        <v>310.7</v>
      </c>
      <c r="G329" s="5" t="s">
        <v>68</v>
      </c>
      <c r="H329" s="4"/>
      <c r="I329" s="2">
        <v>620</v>
      </c>
      <c r="J329" s="3"/>
      <c r="K329" s="7"/>
    </row>
    <row r="330" spans="1:11">
      <c r="A330" s="4">
        <v>949</v>
      </c>
      <c r="B330" s="18" t="s">
        <v>346</v>
      </c>
      <c r="C330" s="2">
        <v>1500</v>
      </c>
      <c r="D330" s="3">
        <v>101</v>
      </c>
      <c r="E330" s="4">
        <f t="shared" si="5"/>
        <v>1601</v>
      </c>
      <c r="F330" s="3"/>
      <c r="G330" s="5"/>
      <c r="H330" s="4">
        <v>150</v>
      </c>
      <c r="I330" s="2"/>
      <c r="J330" s="3"/>
      <c r="K330" s="7"/>
    </row>
    <row r="331" spans="1:11">
      <c r="A331" s="4">
        <v>950</v>
      </c>
      <c r="B331" s="18" t="s">
        <v>347</v>
      </c>
      <c r="C331" s="2">
        <v>1500</v>
      </c>
      <c r="D331" s="3">
        <v>101</v>
      </c>
      <c r="E331" s="4">
        <f t="shared" si="5"/>
        <v>1601</v>
      </c>
      <c r="F331" s="3"/>
      <c r="G331" s="5"/>
      <c r="H331" s="4">
        <v>150</v>
      </c>
      <c r="I331" s="2"/>
      <c r="J331" s="3"/>
      <c r="K331" s="7"/>
    </row>
    <row r="332" spans="1:11">
      <c r="A332" s="4">
        <v>951</v>
      </c>
      <c r="B332" s="18" t="s">
        <v>348</v>
      </c>
      <c r="C332" s="2">
        <v>1500</v>
      </c>
      <c r="D332" s="3">
        <v>101</v>
      </c>
      <c r="E332" s="4">
        <f t="shared" si="5"/>
        <v>1601</v>
      </c>
      <c r="F332" s="3"/>
      <c r="G332" s="5"/>
      <c r="H332" s="4">
        <v>150</v>
      </c>
      <c r="I332" s="2"/>
      <c r="J332" s="3"/>
      <c r="K332" s="7"/>
    </row>
    <row r="333" spans="1:11">
      <c r="A333" s="4">
        <v>952</v>
      </c>
      <c r="B333" s="18" t="s">
        <v>349</v>
      </c>
      <c r="C333" s="2">
        <v>971</v>
      </c>
      <c r="D333" s="3">
        <v>214</v>
      </c>
      <c r="E333" s="4">
        <f t="shared" si="5"/>
        <v>1185</v>
      </c>
      <c r="F333" s="3"/>
      <c r="G333" s="5"/>
      <c r="H333" s="4"/>
      <c r="I333" s="2">
        <v>155</v>
      </c>
      <c r="J333" s="3"/>
      <c r="K333" s="7"/>
    </row>
    <row r="334" spans="1:11">
      <c r="A334" s="4">
        <v>953</v>
      </c>
      <c r="B334" s="18" t="s">
        <v>350</v>
      </c>
      <c r="C334" s="2">
        <v>971</v>
      </c>
      <c r="D334" s="3">
        <v>214</v>
      </c>
      <c r="E334" s="4">
        <f t="shared" si="5"/>
        <v>1185</v>
      </c>
      <c r="F334" s="3"/>
      <c r="G334" s="5"/>
      <c r="H334" s="4"/>
      <c r="I334" s="2">
        <v>155</v>
      </c>
      <c r="J334" s="3"/>
      <c r="K334" s="7"/>
    </row>
    <row r="335" spans="1:11">
      <c r="A335" s="4">
        <v>954</v>
      </c>
      <c r="B335" s="18" t="s">
        <v>351</v>
      </c>
      <c r="C335" s="2">
        <v>1600</v>
      </c>
      <c r="D335" s="3">
        <v>88</v>
      </c>
      <c r="E335" s="4">
        <f t="shared" si="5"/>
        <v>1688</v>
      </c>
      <c r="F335" s="3">
        <v>310.7</v>
      </c>
      <c r="G335" s="12">
        <v>388</v>
      </c>
      <c r="H335" s="4"/>
      <c r="I335" s="2">
        <v>657</v>
      </c>
      <c r="J335" s="3"/>
      <c r="K335" s="7"/>
    </row>
    <row r="336" spans="1:11">
      <c r="A336" s="4">
        <v>955</v>
      </c>
      <c r="B336" s="18" t="s">
        <v>352</v>
      </c>
      <c r="C336" s="2">
        <v>971</v>
      </c>
      <c r="D336" s="3">
        <v>414.7</v>
      </c>
      <c r="E336" s="4">
        <f t="shared" si="5"/>
        <v>1385.7</v>
      </c>
      <c r="F336" s="3"/>
      <c r="G336" s="5"/>
      <c r="H336" s="4">
        <v>150</v>
      </c>
      <c r="I336" s="2"/>
      <c r="J336" s="3"/>
      <c r="K336" s="7"/>
    </row>
    <row r="337" spans="1:11">
      <c r="A337" s="4">
        <v>956</v>
      </c>
      <c r="B337" s="18" t="s">
        <v>353</v>
      </c>
      <c r="C337" s="2">
        <v>1692</v>
      </c>
      <c r="D337" s="3">
        <v>76</v>
      </c>
      <c r="E337" s="4">
        <f t="shared" si="5"/>
        <v>1768</v>
      </c>
      <c r="F337" s="3">
        <v>362.7</v>
      </c>
      <c r="G337" s="12">
        <v>388</v>
      </c>
      <c r="H337" s="4"/>
      <c r="I337" s="2">
        <v>663</v>
      </c>
      <c r="J337" s="3"/>
      <c r="K337" s="7"/>
    </row>
    <row r="338" spans="1:11">
      <c r="A338" s="4">
        <v>957</v>
      </c>
      <c r="B338" s="18" t="s">
        <v>354</v>
      </c>
      <c r="C338" s="2">
        <v>1700</v>
      </c>
      <c r="D338" s="3">
        <v>75</v>
      </c>
      <c r="E338" s="4">
        <f t="shared" si="5"/>
        <v>1775</v>
      </c>
      <c r="F338" s="3">
        <v>413.3</v>
      </c>
      <c r="G338" s="12">
        <v>516</v>
      </c>
      <c r="H338" s="4"/>
      <c r="I338" s="2"/>
      <c r="J338" s="3"/>
      <c r="K338" s="7"/>
    </row>
    <row r="339" spans="1:11">
      <c r="A339" s="4">
        <v>959</v>
      </c>
      <c r="B339" s="18" t="s">
        <v>355</v>
      </c>
      <c r="C339" s="2">
        <v>1942</v>
      </c>
      <c r="D339" s="3">
        <v>43</v>
      </c>
      <c r="E339" s="4">
        <f t="shared" si="5"/>
        <v>1985</v>
      </c>
      <c r="F339" s="3">
        <v>388</v>
      </c>
      <c r="G339" s="12">
        <v>647</v>
      </c>
      <c r="H339" s="4">
        <v>17</v>
      </c>
      <c r="I339" s="2"/>
      <c r="J339" s="3"/>
      <c r="K339" s="7"/>
    </row>
    <row r="340" spans="1:11">
      <c r="A340" s="4">
        <v>960</v>
      </c>
      <c r="B340" s="18" t="s">
        <v>356</v>
      </c>
      <c r="C340" s="2">
        <v>1600</v>
      </c>
      <c r="D340" s="3">
        <v>88</v>
      </c>
      <c r="E340" s="4">
        <f t="shared" si="5"/>
        <v>1688</v>
      </c>
      <c r="F340" s="3">
        <v>233</v>
      </c>
      <c r="G340" s="12">
        <v>388</v>
      </c>
      <c r="H340" s="4">
        <v>17</v>
      </c>
      <c r="I340" s="2"/>
      <c r="J340" s="3"/>
      <c r="K340" s="7"/>
    </row>
    <row r="341" spans="1:11">
      <c r="A341" s="4">
        <v>961</v>
      </c>
      <c r="B341" s="18" t="s">
        <v>357</v>
      </c>
      <c r="C341" s="2"/>
      <c r="D341" s="3"/>
      <c r="E341" s="4"/>
      <c r="F341" s="3">
        <v>347.6</v>
      </c>
      <c r="G341" s="5"/>
      <c r="H341" s="4"/>
      <c r="I341" s="2"/>
      <c r="J341" s="3"/>
      <c r="K341" s="7"/>
    </row>
    <row r="342" spans="1:11">
      <c r="A342" s="4">
        <v>962</v>
      </c>
      <c r="B342" s="18" t="s">
        <v>358</v>
      </c>
      <c r="C342" s="2"/>
      <c r="D342" s="3"/>
      <c r="E342" s="4"/>
      <c r="F342" s="3"/>
      <c r="G342" s="5"/>
      <c r="H342" s="4"/>
      <c r="I342" s="2"/>
      <c r="J342" s="3"/>
      <c r="K342" s="7"/>
    </row>
    <row r="343" spans="1:11">
      <c r="A343" s="4">
        <v>963</v>
      </c>
      <c r="B343" s="18" t="s">
        <v>359</v>
      </c>
      <c r="C343" s="11">
        <v>951</v>
      </c>
      <c r="D343" s="3">
        <v>414.7</v>
      </c>
      <c r="E343" s="4">
        <f>C343+D343</f>
        <v>1365.7</v>
      </c>
      <c r="F343" s="3"/>
      <c r="G343" s="5"/>
      <c r="H343" s="4"/>
      <c r="I343" s="2"/>
      <c r="J343" s="3"/>
      <c r="K343" s="7"/>
    </row>
    <row r="344" spans="1:11">
      <c r="A344" s="4">
        <v>964</v>
      </c>
      <c r="B344" s="18" t="s">
        <v>360</v>
      </c>
      <c r="C344" s="2">
        <v>1500</v>
      </c>
      <c r="D344" s="3">
        <v>101</v>
      </c>
      <c r="E344" s="4">
        <f>C344+D344</f>
        <v>1601</v>
      </c>
      <c r="F344" s="3">
        <v>310</v>
      </c>
      <c r="G344" s="5">
        <v>388</v>
      </c>
      <c r="H344" s="4">
        <v>17</v>
      </c>
      <c r="I344" s="2"/>
      <c r="J344" s="3"/>
      <c r="K344" s="7"/>
    </row>
    <row r="345" spans="1:11">
      <c r="A345" s="4">
        <v>965</v>
      </c>
      <c r="B345" s="18" t="s">
        <v>361</v>
      </c>
      <c r="C345" s="2">
        <v>1700</v>
      </c>
      <c r="D345" s="3">
        <v>75</v>
      </c>
      <c r="E345" s="4">
        <f>C345+D345</f>
        <v>1775</v>
      </c>
      <c r="F345" s="3">
        <v>310</v>
      </c>
      <c r="G345" s="5">
        <v>388</v>
      </c>
      <c r="H345" s="4">
        <v>17</v>
      </c>
      <c r="I345" s="2"/>
      <c r="J345" s="3"/>
      <c r="K345" s="7"/>
    </row>
    <row r="346" spans="1:11">
      <c r="A346" s="4">
        <v>966</v>
      </c>
      <c r="B346" s="18" t="s">
        <v>362</v>
      </c>
      <c r="C346" s="2"/>
      <c r="D346" s="3"/>
      <c r="E346" s="4"/>
      <c r="F346" s="3">
        <v>434.5</v>
      </c>
      <c r="G346" s="5"/>
      <c r="H346" s="4"/>
      <c r="I346" s="2"/>
      <c r="J346" s="3"/>
      <c r="K346" s="7"/>
    </row>
    <row r="347" spans="1:11">
      <c r="A347" s="4">
        <v>967</v>
      </c>
      <c r="B347" s="18" t="s">
        <v>363</v>
      </c>
      <c r="C347" s="2"/>
      <c r="D347" s="3"/>
      <c r="E347" s="4"/>
      <c r="F347" s="3"/>
      <c r="G347" s="5"/>
      <c r="H347" s="4"/>
      <c r="I347" s="2"/>
      <c r="J347" s="3"/>
      <c r="K347" s="7"/>
    </row>
    <row r="348" spans="1:11">
      <c r="A348" s="4">
        <v>969</v>
      </c>
      <c r="B348" s="18" t="s">
        <v>364</v>
      </c>
      <c r="C348" s="2">
        <v>1942</v>
      </c>
      <c r="D348" s="3">
        <v>43</v>
      </c>
      <c r="E348" s="4">
        <f t="shared" ref="E348:E361" si="6">C348+D348</f>
        <v>1985</v>
      </c>
      <c r="F348" s="3"/>
      <c r="G348" s="5">
        <v>647</v>
      </c>
      <c r="H348" s="4">
        <v>150</v>
      </c>
      <c r="I348" s="2"/>
      <c r="J348" s="3"/>
      <c r="K348" s="7"/>
    </row>
    <row r="349" spans="1:11">
      <c r="A349" s="4">
        <v>970</v>
      </c>
      <c r="B349" s="18" t="s">
        <v>365</v>
      </c>
      <c r="C349" s="11">
        <v>1480</v>
      </c>
      <c r="D349" s="3">
        <v>104</v>
      </c>
      <c r="E349" s="4">
        <f t="shared" si="6"/>
        <v>1584</v>
      </c>
      <c r="F349" s="3"/>
      <c r="G349" s="5"/>
      <c r="H349" s="4"/>
      <c r="I349" s="2"/>
      <c r="J349" s="3"/>
      <c r="K349" s="7"/>
    </row>
    <row r="350" spans="1:11">
      <c r="A350" s="4">
        <v>971</v>
      </c>
      <c r="B350" s="18" t="s">
        <v>366</v>
      </c>
      <c r="C350" s="2">
        <v>1400</v>
      </c>
      <c r="D350" s="3">
        <v>114</v>
      </c>
      <c r="E350" s="4">
        <f t="shared" si="6"/>
        <v>1514</v>
      </c>
      <c r="F350" s="3">
        <v>310.7</v>
      </c>
      <c r="G350" s="5">
        <v>388</v>
      </c>
      <c r="H350" s="4">
        <v>150</v>
      </c>
      <c r="I350" s="2"/>
      <c r="J350" s="3"/>
      <c r="K350" s="7"/>
    </row>
    <row r="351" spans="1:11">
      <c r="A351" s="4">
        <v>972</v>
      </c>
      <c r="B351" s="18" t="s">
        <v>367</v>
      </c>
      <c r="C351" s="2">
        <v>1692</v>
      </c>
      <c r="D351" s="3">
        <v>76</v>
      </c>
      <c r="E351" s="4">
        <f t="shared" si="6"/>
        <v>1768</v>
      </c>
      <c r="F351" s="3">
        <v>362.7</v>
      </c>
      <c r="G351" s="5">
        <v>453</v>
      </c>
      <c r="H351" s="4">
        <v>17</v>
      </c>
      <c r="I351" s="2"/>
      <c r="J351" s="3"/>
      <c r="K351" s="7"/>
    </row>
    <row r="352" spans="1:11">
      <c r="A352" s="4">
        <v>973</v>
      </c>
      <c r="B352" s="18" t="s">
        <v>368</v>
      </c>
      <c r="C352" s="2">
        <v>1592</v>
      </c>
      <c r="D352" s="3">
        <v>89</v>
      </c>
      <c r="E352" s="4">
        <f t="shared" si="6"/>
        <v>1681</v>
      </c>
      <c r="F352" s="3">
        <v>310.7</v>
      </c>
      <c r="G352" s="5">
        <v>388</v>
      </c>
      <c r="H352" s="4">
        <v>17</v>
      </c>
      <c r="I352" s="2"/>
      <c r="J352" s="3"/>
      <c r="K352" s="7"/>
    </row>
    <row r="353" spans="1:11">
      <c r="A353" s="4">
        <v>974</v>
      </c>
      <c r="B353" s="18" t="s">
        <v>369</v>
      </c>
      <c r="C353" s="2">
        <v>1500</v>
      </c>
      <c r="D353" s="3">
        <v>101</v>
      </c>
      <c r="E353" s="4">
        <f t="shared" si="6"/>
        <v>1601</v>
      </c>
      <c r="F353" s="3"/>
      <c r="G353" s="5"/>
      <c r="H353" s="4">
        <v>150</v>
      </c>
      <c r="I353" s="2"/>
      <c r="J353" s="3"/>
      <c r="K353" s="7"/>
    </row>
    <row r="354" spans="1:11">
      <c r="A354" s="4">
        <v>976</v>
      </c>
      <c r="B354" s="18" t="s">
        <v>193</v>
      </c>
      <c r="C354" s="2">
        <v>971</v>
      </c>
      <c r="D354" s="3">
        <v>414.7</v>
      </c>
      <c r="E354" s="4">
        <f t="shared" si="6"/>
        <v>1385.7</v>
      </c>
      <c r="F354" s="3"/>
      <c r="G354" s="5"/>
      <c r="H354" s="4"/>
      <c r="I354" s="2"/>
      <c r="J354" s="3"/>
      <c r="K354" s="7"/>
    </row>
    <row r="355" spans="1:11">
      <c r="A355" s="4">
        <v>977</v>
      </c>
      <c r="B355" s="18" t="s">
        <v>370</v>
      </c>
      <c r="C355" s="2">
        <v>971</v>
      </c>
      <c r="D355" s="3">
        <v>414.7</v>
      </c>
      <c r="E355" s="4">
        <f t="shared" si="6"/>
        <v>1385.7</v>
      </c>
      <c r="F355" s="3"/>
      <c r="G355" s="5"/>
      <c r="H355" s="4"/>
      <c r="I355" s="2"/>
      <c r="J355" s="3"/>
      <c r="K355" s="7"/>
    </row>
    <row r="356" spans="1:11">
      <c r="A356" s="4">
        <v>978</v>
      </c>
      <c r="B356" s="18" t="s">
        <v>194</v>
      </c>
      <c r="C356" s="2">
        <v>971</v>
      </c>
      <c r="D356" s="3">
        <v>414.7</v>
      </c>
      <c r="E356" s="4">
        <f t="shared" si="6"/>
        <v>1385.7</v>
      </c>
      <c r="F356" s="3"/>
      <c r="G356" s="5"/>
      <c r="H356" s="4"/>
      <c r="I356" s="2"/>
      <c r="J356" s="3"/>
      <c r="K356" s="7"/>
    </row>
    <row r="357" spans="1:11">
      <c r="A357" s="4">
        <v>979</v>
      </c>
      <c r="B357" s="18" t="s">
        <v>371</v>
      </c>
      <c r="C357" s="2">
        <v>1400</v>
      </c>
      <c r="D357" s="3">
        <v>114</v>
      </c>
      <c r="E357" s="4">
        <f t="shared" si="6"/>
        <v>1514</v>
      </c>
      <c r="F357" s="3">
        <v>310.7</v>
      </c>
      <c r="G357" s="2">
        <v>388</v>
      </c>
      <c r="H357" s="4">
        <v>17</v>
      </c>
      <c r="I357" s="2"/>
      <c r="J357" s="3"/>
      <c r="K357" s="7"/>
    </row>
    <row r="358" spans="1:11">
      <c r="A358" s="4">
        <v>980</v>
      </c>
      <c r="B358" s="18" t="s">
        <v>372</v>
      </c>
      <c r="C358" s="2">
        <v>1300</v>
      </c>
      <c r="D358" s="3">
        <v>127</v>
      </c>
      <c r="E358" s="4">
        <f t="shared" si="6"/>
        <v>1427</v>
      </c>
      <c r="F358" s="3">
        <v>310.7</v>
      </c>
      <c r="G358" s="2">
        <v>388</v>
      </c>
      <c r="H358" s="4">
        <v>17</v>
      </c>
      <c r="I358" s="2"/>
      <c r="J358" s="3"/>
      <c r="K358" s="7"/>
    </row>
    <row r="359" spans="1:11">
      <c r="A359" s="4">
        <v>981</v>
      </c>
      <c r="B359" s="18" t="s">
        <v>373</v>
      </c>
      <c r="C359" s="2">
        <v>1250</v>
      </c>
      <c r="D359" s="3">
        <v>134</v>
      </c>
      <c r="E359" s="4">
        <f t="shared" si="6"/>
        <v>1384</v>
      </c>
      <c r="F359" s="3">
        <v>310.7</v>
      </c>
      <c r="G359" s="5">
        <v>388</v>
      </c>
      <c r="H359" s="4">
        <v>17</v>
      </c>
      <c r="I359" s="2"/>
      <c r="J359" s="3"/>
      <c r="K359" s="7"/>
    </row>
    <row r="360" spans="1:11">
      <c r="A360" s="4">
        <v>982</v>
      </c>
      <c r="B360" s="18" t="s">
        <v>374</v>
      </c>
      <c r="C360" s="2">
        <v>971</v>
      </c>
      <c r="D360" s="3">
        <v>414.7</v>
      </c>
      <c r="E360" s="4">
        <f t="shared" si="6"/>
        <v>1385.7</v>
      </c>
      <c r="F360" s="3"/>
      <c r="G360" s="5"/>
      <c r="H360" s="4">
        <v>17</v>
      </c>
      <c r="I360" s="2"/>
      <c r="J360" s="3"/>
      <c r="K360" s="7"/>
    </row>
    <row r="361" spans="1:11">
      <c r="A361" s="4">
        <v>983</v>
      </c>
      <c r="B361" s="18" t="s">
        <v>375</v>
      </c>
      <c r="C361" s="2">
        <v>690</v>
      </c>
      <c r="D361" s="3">
        <v>414.7</v>
      </c>
      <c r="E361" s="4">
        <f t="shared" si="6"/>
        <v>1104.7</v>
      </c>
      <c r="F361" s="3"/>
      <c r="G361" s="5"/>
      <c r="H361" s="4"/>
      <c r="I361" s="2"/>
      <c r="J361" s="3"/>
      <c r="K361" s="7"/>
    </row>
    <row r="362" spans="1:11" ht="25.5">
      <c r="A362" s="4">
        <v>984</v>
      </c>
      <c r="B362" s="18" t="s">
        <v>376</v>
      </c>
      <c r="C362" s="2"/>
      <c r="D362" s="3"/>
      <c r="E362" s="4"/>
      <c r="F362" s="3"/>
      <c r="G362" s="5"/>
      <c r="H362" s="4"/>
      <c r="I362" s="2"/>
      <c r="J362" s="3"/>
      <c r="K362" s="7"/>
    </row>
    <row r="363" spans="1:11">
      <c r="A363" s="4">
        <v>985</v>
      </c>
      <c r="B363" s="18" t="s">
        <v>377</v>
      </c>
      <c r="C363" s="2">
        <v>2913</v>
      </c>
      <c r="D363" s="3">
        <v>0</v>
      </c>
      <c r="E363" s="4">
        <f>C363+D363</f>
        <v>2913</v>
      </c>
      <c r="F363" s="3"/>
      <c r="G363" s="5"/>
      <c r="H363" s="4"/>
      <c r="I363" s="2"/>
      <c r="J363" s="3"/>
      <c r="K363" s="7"/>
    </row>
    <row r="364" spans="1:11">
      <c r="A364" s="4">
        <v>986</v>
      </c>
      <c r="B364" s="18" t="s">
        <v>378</v>
      </c>
      <c r="C364" s="2">
        <v>644</v>
      </c>
      <c r="D364" s="3">
        <v>414.7</v>
      </c>
      <c r="E364" s="4">
        <f>C364+D364</f>
        <v>1058.7</v>
      </c>
      <c r="F364" s="3"/>
      <c r="G364" s="5"/>
      <c r="H364" s="4"/>
      <c r="I364" s="2"/>
      <c r="J364" s="3"/>
      <c r="K364" s="7"/>
    </row>
    <row r="365" spans="1:11">
      <c r="A365" s="4">
        <v>987</v>
      </c>
      <c r="B365" s="18" t="s">
        <v>379</v>
      </c>
      <c r="C365" s="11">
        <v>1170</v>
      </c>
      <c r="D365" s="3">
        <v>144</v>
      </c>
      <c r="E365" s="4">
        <f>C365+D365</f>
        <v>1314</v>
      </c>
      <c r="F365" s="3"/>
      <c r="G365" s="5"/>
      <c r="H365" s="4"/>
      <c r="I365" s="2"/>
      <c r="J365" s="3"/>
      <c r="K365" s="7"/>
    </row>
    <row r="366" spans="1:11">
      <c r="A366" s="4">
        <v>990</v>
      </c>
      <c r="B366" s="18" t="s">
        <v>380</v>
      </c>
      <c r="C366" s="2"/>
      <c r="D366" s="3"/>
      <c r="E366" s="4"/>
      <c r="F366" s="3"/>
      <c r="G366" s="5"/>
      <c r="H366" s="4"/>
      <c r="I366" s="2"/>
      <c r="J366" s="3"/>
      <c r="K366" s="7"/>
    </row>
    <row r="367" spans="1:11">
      <c r="A367" s="4">
        <v>991</v>
      </c>
      <c r="B367" s="18" t="s">
        <v>381</v>
      </c>
      <c r="C367" s="2"/>
      <c r="D367" s="3"/>
      <c r="E367" s="4"/>
      <c r="F367" s="3"/>
      <c r="G367" s="5"/>
      <c r="H367" s="4"/>
      <c r="I367" s="2"/>
      <c r="J367" s="3"/>
      <c r="K367" s="7"/>
    </row>
    <row r="368" spans="1:11">
      <c r="A368" s="4">
        <v>992</v>
      </c>
      <c r="B368" s="18" t="s">
        <v>382</v>
      </c>
      <c r="C368" s="2">
        <v>1500</v>
      </c>
      <c r="D368" s="3">
        <v>101</v>
      </c>
      <c r="E368" s="4">
        <f>C368+D368</f>
        <v>1601</v>
      </c>
      <c r="F368" s="3">
        <v>310.7</v>
      </c>
      <c r="G368" s="2">
        <v>388</v>
      </c>
      <c r="H368" s="4"/>
      <c r="I368" s="2"/>
      <c r="J368" s="3"/>
      <c r="K368" s="7"/>
    </row>
    <row r="369" spans="1:11">
      <c r="A369" s="4">
        <v>993</v>
      </c>
      <c r="B369" s="18" t="s">
        <v>383</v>
      </c>
      <c r="C369" s="2">
        <v>1400</v>
      </c>
      <c r="D369" s="3">
        <v>114</v>
      </c>
      <c r="E369" s="4">
        <f>C369+D369</f>
        <v>1514</v>
      </c>
      <c r="F369" s="3"/>
      <c r="G369" s="2">
        <v>388</v>
      </c>
      <c r="H369" s="4"/>
      <c r="I369" s="2">
        <v>657</v>
      </c>
      <c r="J369" s="3"/>
      <c r="K369" s="7"/>
    </row>
    <row r="370" spans="1:11">
      <c r="A370" s="4">
        <v>994</v>
      </c>
      <c r="B370" s="18" t="s">
        <v>384</v>
      </c>
      <c r="C370" s="2">
        <v>1250</v>
      </c>
      <c r="D370" s="3">
        <v>134</v>
      </c>
      <c r="E370" s="4">
        <f>C370+D370</f>
        <v>1384</v>
      </c>
      <c r="F370" s="3">
        <v>347.6</v>
      </c>
      <c r="G370" s="2">
        <v>388</v>
      </c>
      <c r="H370" s="4"/>
      <c r="I370" s="2">
        <v>657</v>
      </c>
      <c r="J370" s="3"/>
      <c r="K370" s="7"/>
    </row>
    <row r="371" spans="1:11">
      <c r="A371" s="4">
        <v>995</v>
      </c>
      <c r="B371" s="18" t="s">
        <v>385</v>
      </c>
      <c r="C371" s="11">
        <v>1564</v>
      </c>
      <c r="D371" s="3">
        <v>93</v>
      </c>
      <c r="E371" s="4">
        <f>C371+D371</f>
        <v>1657</v>
      </c>
      <c r="F371" s="3"/>
      <c r="G371" s="5"/>
      <c r="H371" s="4"/>
      <c r="I371" s="2"/>
      <c r="J371" s="3"/>
      <c r="K371" s="7"/>
    </row>
    <row r="372" spans="1:11">
      <c r="A372" s="4">
        <v>999</v>
      </c>
      <c r="B372" s="18" t="s">
        <v>386</v>
      </c>
      <c r="C372" s="2">
        <v>1250</v>
      </c>
      <c r="D372" s="3">
        <v>134</v>
      </c>
      <c r="E372" s="4">
        <f>C372+D372</f>
        <v>1384</v>
      </c>
      <c r="F372" s="3">
        <v>310.7</v>
      </c>
      <c r="G372" s="2">
        <v>388</v>
      </c>
      <c r="H372" s="4"/>
      <c r="I372" s="2"/>
      <c r="J372" s="3"/>
      <c r="K372" s="7"/>
    </row>
  </sheetData>
  <sheetProtection algorithmName="SHA-512" hashValue="tSpOZZ9pv9qpQdnMgy0hQmpfmLIoT2knglt8EgNpU0xM0ptLDyUVv/sKPqBeh4nh0WrLgWn8Qj4NqkHX9MGAbA==" saltValue="yNwsEJiEfRDy6TgY94Rwsw==" spinCount="100000" sheet="1" objects="1" scenarios="1"/>
  <conditionalFormatting sqref="K146 K144 K140:K141 K137:K138 K5:K135 K1:K2 K148:K372">
    <cfRule type="cellIs" dxfId="6" priority="7" operator="greaterThan">
      <formula>0</formula>
    </cfRule>
  </conditionalFormatting>
  <conditionalFormatting sqref="K136">
    <cfRule type="cellIs" dxfId="5" priority="6" operator="greaterThan">
      <formula>0</formula>
    </cfRule>
  </conditionalFormatting>
  <conditionalFormatting sqref="K139">
    <cfRule type="cellIs" dxfId="4" priority="5" operator="greaterThan">
      <formula>0</formula>
    </cfRule>
  </conditionalFormatting>
  <conditionalFormatting sqref="K142">
    <cfRule type="cellIs" dxfId="3" priority="4" operator="greaterThan">
      <formula>0</formula>
    </cfRule>
  </conditionalFormatting>
  <conditionalFormatting sqref="K143">
    <cfRule type="cellIs" dxfId="2" priority="3" operator="greaterThan">
      <formula>0</formula>
    </cfRule>
  </conditionalFormatting>
  <conditionalFormatting sqref="K145">
    <cfRule type="cellIs" dxfId="1" priority="2" operator="greaterThan">
      <formula>0</formula>
    </cfRule>
  </conditionalFormatting>
  <conditionalFormatting sqref="K147">
    <cfRule type="cellIs" dxfId="0" priority="1" operator="greaterThan">
      <formula>0</formula>
    </cfRule>
  </conditionalFormatting>
  <hyperlinks>
    <hyperlink ref="B2" r:id="rId1" location="'recibo de sueldo'!A1" xr:uid="{48A3F6C9-3E4D-4CDC-A15B-643649176B21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68</vt:i4>
      </vt:variant>
    </vt:vector>
  </HeadingPairs>
  <TitlesOfParts>
    <vt:vector size="70" baseType="lpstr">
      <vt:lpstr>Recibo</vt:lpstr>
      <vt:lpstr>Cargos</vt:lpstr>
      <vt:lpstr>adicdir2016</vt:lpstr>
      <vt:lpstr>adicdir2022</vt:lpstr>
      <vt:lpstr>adichsmedia</vt:lpstr>
      <vt:lpstr>adicnina</vt:lpstr>
      <vt:lpstr>Aumentojulio26</vt:lpstr>
      <vt:lpstr>Aumentomayo26</vt:lpstr>
      <vt:lpstr>Aumentonoviembre26</vt:lpstr>
      <vt:lpstr>Aumentooctubre26</vt:lpstr>
      <vt:lpstr>Aumentoseptiembre26</vt:lpstr>
      <vt:lpstr>canthor06med</vt:lpstr>
      <vt:lpstr>canthor06sup</vt:lpstr>
      <vt:lpstr>canthorincmed</vt:lpstr>
      <vt:lpstr>canthorincsup</vt:lpstr>
      <vt:lpstr>canthormed</vt:lpstr>
      <vt:lpstr>canthorsup</vt:lpstr>
      <vt:lpstr>cantkm</vt:lpstr>
      <vt:lpstr>cantkmhm</vt:lpstr>
      <vt:lpstr>cantkmhs</vt:lpstr>
      <vt:lpstr>codigo06cargosdic25</vt:lpstr>
      <vt:lpstr>compbas16</vt:lpstr>
      <vt:lpstr>compbas2016</vt:lpstr>
      <vt:lpstr>compdir16</vt:lpstr>
      <vt:lpstr>compdir22</vt:lpstr>
      <vt:lpstr>escalaañosantig</vt:lpstr>
      <vt:lpstr>escalaporcantig</vt:lpstr>
      <vt:lpstr>exten</vt:lpstr>
      <vt:lpstr>indicedic25</vt:lpstr>
      <vt:lpstr>indicejul26</vt:lpstr>
      <vt:lpstr>indicemay26</vt:lpstr>
      <vt:lpstr>indicenov26</vt:lpstr>
      <vt:lpstr>indiceoct26</vt:lpstr>
      <vt:lpstr>Indiceproljordic25</vt:lpstr>
      <vt:lpstr>Indiceproljorjul26</vt:lpstr>
      <vt:lpstr>Indiceproljormay26</vt:lpstr>
      <vt:lpstr>Indiceproljornov26</vt:lpstr>
      <vt:lpstr>Indiceproljoroct26</vt:lpstr>
      <vt:lpstr>Indiceproljorsep26</vt:lpstr>
      <vt:lpstr>indicesep26</vt:lpstr>
      <vt:lpstr>kmsem</vt:lpstr>
      <vt:lpstr>kmsemhsmed</vt:lpstr>
      <vt:lpstr>kmsemhssup</vt:lpstr>
      <vt:lpstr>nina</vt:lpstr>
      <vt:lpstr>nombrecargo</vt:lpstr>
      <vt:lpstr>numcargo</vt:lpstr>
      <vt:lpstr>poragmer</vt:lpstr>
      <vt:lpstr>porant</vt:lpstr>
      <vt:lpstr>porantigcargo</vt:lpstr>
      <vt:lpstr>porantighormed</vt:lpstr>
      <vt:lpstr>porantighorsup</vt:lpstr>
      <vt:lpstr>poros</vt:lpstr>
      <vt:lpstr>porzonacargo</vt:lpstr>
      <vt:lpstr>porzonahsmed</vt:lpstr>
      <vt:lpstr>punbascar</vt:lpstr>
      <vt:lpstr>punbascargo</vt:lpstr>
      <vt:lpstr>punbashormed</vt:lpstr>
      <vt:lpstr>punbashorsup</vt:lpstr>
      <vt:lpstr>punexten</vt:lpstr>
      <vt:lpstr>punproljorcargo</vt:lpstr>
      <vt:lpstr>puntardifcargo</vt:lpstr>
      <vt:lpstr>puntosadicnina</vt:lpstr>
      <vt:lpstr>PUNTOSbasicos</vt:lpstr>
      <vt:lpstr>puntosexten</vt:lpstr>
      <vt:lpstr>puntosproljor</vt:lpstr>
      <vt:lpstr>puntostardif</vt:lpstr>
      <vt:lpstr>totalremdic25</vt:lpstr>
      <vt:lpstr>totalremjul26</vt:lpstr>
      <vt:lpstr>totalremmay26</vt:lpstr>
      <vt:lpstr>totalremsep26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huttvictor@gmail.com</dc:creator>
  <cp:lastModifiedBy>huttvictor@gmail.com</cp:lastModifiedBy>
  <dcterms:created xsi:type="dcterms:W3CDTF">2026-03-29T22:32:13Z</dcterms:created>
  <dcterms:modified xsi:type="dcterms:W3CDTF">2026-10-08T02:06:08Z</dcterms:modified>
</cp:coreProperties>
</file>