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35" tabRatio="593" activeTab="0"/>
  </bookViews>
  <sheets>
    <sheet name="Haberes jubilados" sheetId="1" r:id="rId1"/>
    <sheet name="Cargos" sheetId="2" r:id="rId2"/>
    <sheet name="Para varios cargos" sheetId="3" state="hidden" r:id="rId3"/>
    <sheet name="Hoja1" sheetId="4" state="hidden" r:id="rId4"/>
    <sheet name="Hoja2" sheetId="5" state="hidden" r:id="rId5"/>
  </sheets>
  <externalReferences>
    <externalReference r:id="rId8"/>
    <externalReference r:id="rId9"/>
  </externalReferences>
  <definedNames>
    <definedName name="adicdir">'Cargos'!$K$3:$K$336</definedName>
    <definedName name="adicdir2013">'Cargos'!$L$3:$L$336</definedName>
    <definedName name="adicdir2014">'Cargos'!$M$3:$M$336</definedName>
    <definedName name="adicdir2016">'Cargos'!$N$3:$N$336</definedName>
    <definedName name="adicdir2022">'Cargos'!$O$3:$O$336</definedName>
    <definedName name="adicdirvarios1">'Para varios cargos'!$J$48</definedName>
    <definedName name="adicdirvarios2">'Para varios cargos'!$J$126</definedName>
    <definedName name="adicdirvarios3">'Para varios cargos'!$J$205</definedName>
    <definedName name="adicdirvarios4">'Para varios cargos'!$J$284</definedName>
    <definedName name="adichsmedia">'Haberes jubilados'!$D$239</definedName>
    <definedName name="adicnina">'Cargos'!$T$3:$T$336</definedName>
    <definedName name="aumento10">'Haberes jubilados'!$J$63</definedName>
    <definedName name="Aumento11">'Haberes jubilados'!$J$64</definedName>
    <definedName name="cargosingreso">'Haberes jubilados'!$C$103</definedName>
    <definedName name="cargosproljor">'Haberes jubilados'!#REF!</definedName>
    <definedName name="cod06cargosago17">'Haberes jubilados'!#REF!</definedName>
    <definedName name="cod06cargosdic21">'Haberes jubilados'!#REF!</definedName>
    <definedName name="cod06cargosene23">'Haberes jubilados'!$C$68:$C$79</definedName>
    <definedName name="cod06cargosfeb21">'Haberes jubilados'!#REF!</definedName>
    <definedName name="cod06cargosfeb24">'Haberes jubilados'!$C$84:$C$95</definedName>
    <definedName name="cod06dic21">'Haberes jubilados'!#REF!</definedName>
    <definedName name="cod06ene20">'Haberes jubilados'!#REF!</definedName>
    <definedName name="cod06ene22">'Haberes jubilados'!$C$61</definedName>
    <definedName name="cod06ene23">'Haberes jubilados'!$C$61</definedName>
    <definedName name="cod06feb21">'Haberes jubilados'!#REF!</definedName>
    <definedName name="cod06feb24">'Haberes jubilados'!$G$62</definedName>
    <definedName name="cod06horas">'Haberes jubilados'!#REF!</definedName>
    <definedName name="compbasico">'Haberes jubilados'!#REF!</definedName>
    <definedName name="compbasico2013">'Haberes jubilados'!$H$108</definedName>
    <definedName name="compbasico2014">'Haberes jubilados'!#REF!</definedName>
    <definedName name="compbasico2015">'Haberes jubilados'!$F$106</definedName>
    <definedName name="compbasico2016">'Haberes jubilados'!$G$108</definedName>
    <definedName name="compbasicovarios1">'Para varios cargos'!$I$48</definedName>
    <definedName name="compbasicovarios2">'Para varios cargos'!$I$126</definedName>
    <definedName name="compbasicovarios3">'Para varios cargos'!$I$205</definedName>
    <definedName name="compbasicovarios4">'Para varios cargos'!$I$284</definedName>
    <definedName name="cuartocargo">'Para varios cargos'!$E$281</definedName>
    <definedName name="frac">'Haberes jubilados'!$F$109</definedName>
    <definedName name="frac1">'Para varios cargos'!$I$51</definedName>
    <definedName name="frac2">'Para varios cargos'!$I$129</definedName>
    <definedName name="frac3">'Para varios cargos'!$I$208</definedName>
    <definedName name="frac4">'Para varios cargos'!$I$287</definedName>
    <definedName name="horasmedia">'Haberes jubilados'!$B$231</definedName>
    <definedName name="horassuperior">'Haberes jubilados'!$B$346</definedName>
    <definedName name="indiceabr24">'Haberes jubilados'!$K$56</definedName>
    <definedName name="indicedic23">'Haberes jubilados'!$C$56</definedName>
    <definedName name="indiceene24">'Haberes jubilados'!$E$56</definedName>
    <definedName name="indicefeb24">'Haberes jubilados'!$G$56</definedName>
    <definedName name="indicemar24">'Haberes jubilados'!$I$56</definedName>
    <definedName name="Indiceproljorabr24">'Haberes jubilados'!$K$59</definedName>
    <definedName name="indiceproljordic23">'Haberes jubilados'!$C$59</definedName>
    <definedName name="Indiceproljorene24">'Haberes jubilados'!$E$59</definedName>
    <definedName name="Indiceproljorfeb24">'Haberes jubilados'!$G$59</definedName>
    <definedName name="Indiceproljormar24">'Haberes jubilados'!$I$59</definedName>
    <definedName name="infladic">'Haberes jubilados'!#REF!</definedName>
    <definedName name="inflajun">'Haberes jubilados'!#REF!</definedName>
    <definedName name="inflasep">'Haberes jubilados'!#REF!</definedName>
    <definedName name="instructivo">'Haberes jubilados'!#REF!</definedName>
    <definedName name="jorcom">'Cargos'!$S$3:$S$336</definedName>
    <definedName name="nina">'Haberes jubilados'!$H$111</definedName>
    <definedName name="nombrecargo">'Cargos'!$B$3:$B$336</definedName>
    <definedName name="nomprovcar">'Haberes jubilados'!#REF!</definedName>
    <definedName name="nomprovhsmed">'Haberes jubilados'!#REF!</definedName>
    <definedName name="nomprovhssup">'Haberes jubilados'!#REF!</definedName>
    <definedName name="numcargo">'[1]Cargos'!$A$3:$A$335</definedName>
    <definedName name="numerocargo">'Cargos'!$A$3:$A$336</definedName>
    <definedName name="numhorasmed">'Haberes jubilados'!$D$235</definedName>
    <definedName name="numhorassup">'Haberes jubilados'!$D$350</definedName>
    <definedName name="porant">'Haberes jubilados'!$B$68:$B$79</definedName>
    <definedName name="porantvar1">'Para varios cargos'!$E$11:$E$22</definedName>
    <definedName name="porantvar2">'Para varios cargos'!$E$88:$E$99</definedName>
    <definedName name="porantvar3">'Para varios cargos'!$E$168:$E$179</definedName>
    <definedName name="porantvar4">'Para varios cargos'!$E$246:$E$257</definedName>
    <definedName name="porcantigcargo">'Haberes jubilados'!$D$115</definedName>
    <definedName name="porcantighorasmed">'Haberes jubilados'!$D$236</definedName>
    <definedName name="porcantigsup">'Haberes jubilados'!$D$351</definedName>
    <definedName name="porczona">'Haberes jubilados'!$B$109</definedName>
    <definedName name="porjubcar">'Haberes jubilados'!$F$111</definedName>
    <definedName name="porjubhormed">'Haberes jubilados'!$D$237</definedName>
    <definedName name="porjubhorsup">'Haberes jubilados'!$D$352</definedName>
    <definedName name="porjubvarcar">'Para varios cargos'!$F$6</definedName>
    <definedName name="primercargo">'Para varios cargos'!$E$45</definedName>
    <definedName name="proljor">'Cargos'!$R$3:$R$336</definedName>
    <definedName name="proljorcargo">'Cargos'!$P$3:$P$336</definedName>
    <definedName name="punbascar">'Haberes jubilados'!#REF!</definedName>
    <definedName name="punbascargo">'Cargos'!$C$3:$C$336</definedName>
    <definedName name="punbasjub">'Haberes jubilados'!$D$117</definedName>
    <definedName name="punbasjubvarios1">'Para varios cargos'!$F$58</definedName>
    <definedName name="punbasjubvarios2">'Para varios cargos'!$F$136</definedName>
    <definedName name="punbasjubvarios3">'Para varios cargos'!$F$215</definedName>
    <definedName name="punbasjubvarios4">'Para varios cargos'!$F$294</definedName>
    <definedName name="punproljor">'Haberes jubilados'!#REF!</definedName>
    <definedName name="puntardifvar1">'Para varios cargos'!$F$48</definedName>
    <definedName name="puntardifvar2">'Para varios cargos'!$F$126</definedName>
    <definedName name="puntardifvar3">'Para varios cargos'!$F$205</definedName>
    <definedName name="puntardifvar4">'Para varios cargos'!$F$284</definedName>
    <definedName name="punto_índice">'[2]Prop 24 feb 06'!$D$57</definedName>
    <definedName name="puntoindice">'Haberes jubilados'!#REF!</definedName>
    <definedName name="puntosadicdir">'Haberes jubilados'!#REF!</definedName>
    <definedName name="puntosadicdir2013">'Haberes jubilados'!#REF!</definedName>
    <definedName name="puntosadicdir2014">'Haberes jubilados'!#REF!</definedName>
    <definedName name="puntosadicdir2016">'Haberes jubilados'!$G$106</definedName>
    <definedName name="puntosadicdir2022">'Haberes jubilados'!$I$106</definedName>
    <definedName name="puntosadicnina">'Haberes jubilados'!$H$106</definedName>
    <definedName name="PUNTOSbasicos">'Haberes jubilados'!$B$106</definedName>
    <definedName name="puntosbasicoscargo">'Cargos'!$C$3:$C$336</definedName>
    <definedName name="puntoscompbas2013">'Cargos'!$F$3:$F$336</definedName>
    <definedName name="puntoscompbas2014">'Cargos'!$G$3:$G$336</definedName>
    <definedName name="puntoscompbas2015">'Cargos'!$H$3:$H$336</definedName>
    <definedName name="puntoscompbas2016">'Cargos'!$J$3:$J$336</definedName>
    <definedName name="puntoscompbasico">'Cargos'!$E$3:$E$336</definedName>
    <definedName name="puntosjornadacompleta">'Haberes jubilados'!$E$106</definedName>
    <definedName name="puntosproljor">'Haberes jubilados'!$G$117</definedName>
    <definedName name="puntosproljornada">'Haberes jubilados'!$D$106</definedName>
    <definedName name="puntosproljorvarios1">'Para varios cargos'!$I$58</definedName>
    <definedName name="puntosproljorvarios2">'Para varios cargos'!$I$136</definedName>
    <definedName name="puntosproljorvarios3">'Para varios cargos'!$I$215</definedName>
    <definedName name="puntosproljorvarios4">'Para varios cargos'!$I$294</definedName>
    <definedName name="puntostareadifer">'Haberes jubilados'!$C$106</definedName>
    <definedName name="puntostotalhorassup">'Haberes jubilados'!$D$408</definedName>
    <definedName name="puntotalhorasmed">'Haberes jubilados'!$D$295</definedName>
    <definedName name="recibofinal">'Para varios cargos'!$G$321</definedName>
    <definedName name="segundocargo">'Para varios cargos'!$E$123</definedName>
    <definedName name="solohorassup">'Haberes jubilados'!$D$353</definedName>
    <definedName name="tardif">'Cargos'!$Q$3:$Q$336</definedName>
    <definedName name="tercercargo">'Para varios cargos'!$E$202</definedName>
    <definedName name="valor_prol_jor">'[2]Prop 24 feb 06'!$D$63</definedName>
    <definedName name="viejocompbasico">'Cargos'!$D$3:$D$336</definedName>
  </definedNames>
  <calcPr fullCalcOnLoad="1"/>
</workbook>
</file>

<file path=xl/comments1.xml><?xml version="1.0" encoding="utf-8"?>
<comments xmlns="http://schemas.openxmlformats.org/spreadsheetml/2006/main">
  <authors>
    <author>V?ctor</author>
    <author>vicky</author>
    <author>Victor</author>
  </authors>
  <commentList>
    <comment ref="A106" authorId="0">
      <text>
        <r>
          <rPr>
            <sz val="10"/>
            <rFont val="Tahoma"/>
            <family val="2"/>
          </rPr>
          <t>Si no saben el número del cargo, lo pueden buscar en la hoja cargos, cuya pestaña aparece en parte inferior izquierda de la pantalla.</t>
        </r>
      </text>
    </comment>
    <comment ref="B109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E109" authorId="0">
      <text>
        <r>
          <rPr>
            <sz val="8"/>
            <rFont val="Tahoma"/>
            <family val="2"/>
          </rPr>
          <t>Si trabajaron en el mismo cargo en los últimos 10 años, dejar el 120. De lo contraro fraccionar con la cantidad de meses.</t>
        </r>
      </text>
    </comment>
    <comment ref="D115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he encontrado otros valores en algunos recibos.</t>
        </r>
      </text>
    </comment>
    <comment ref="D239" authorId="1">
      <text>
        <r>
          <rPr>
            <b/>
            <sz val="10"/>
            <rFont val="Tahoma"/>
            <family val="2"/>
          </rPr>
          <t>Victor:
Si sólo cobrás por horas poné 100%, si cobrás también por cargo poné 0%.</t>
        </r>
      </text>
    </comment>
    <comment ref="C418" authorId="2">
      <text>
        <r>
          <rPr>
            <b/>
            <sz val="9"/>
            <rFont val="Tahoma"/>
            <family val="2"/>
          </rPr>
          <t>Victor:</t>
        </r>
        <r>
          <rPr>
            <sz val="9"/>
            <rFont val="Tahoma"/>
            <family val="2"/>
          </rPr>
          <t xml:space="preserve">
Indicar si la cantidad de horas de este código es diferente a la cantidad de horas totales, si no corresponde porque se cobra en cargo, poner 0 en este lugar.</t>
        </r>
      </text>
    </comment>
    <comment ref="D353" authorId="2">
      <text>
        <r>
          <rPr>
            <b/>
            <sz val="9"/>
            <rFont val="Tahoma"/>
            <family val="2"/>
          </rPr>
          <t>Victor: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Si sólo cobrás por horas poné 100%, si cobrás también por cargo poné 0%.</t>
        </r>
      </text>
    </comment>
    <comment ref="B237" authorId="2">
      <text>
        <r>
          <rPr>
            <b/>
            <sz val="9"/>
            <rFont val="Tahoma"/>
            <family val="2"/>
          </rPr>
          <t>Victor:</t>
        </r>
        <r>
          <rPr>
            <sz val="9"/>
            <rFont val="Tahoma"/>
            <family val="2"/>
          </rPr>
          <t xml:space="preserve">
Si te jubilaste sólo con horas, si no tenés que restarle el porcentaje de tiempo de los últimos 10 años que tuviste cargo.</t>
        </r>
      </text>
    </comment>
  </commentList>
</comments>
</file>

<file path=xl/comments3.xml><?xml version="1.0" encoding="utf-8"?>
<comments xmlns="http://schemas.openxmlformats.org/spreadsheetml/2006/main">
  <authors>
    <author>V?ctor</author>
  </authors>
  <commentList>
    <comment ref="D48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no saben el número del cargo, lo pueden buscar en la hoja cargos, cuya pestaña aparece en parte inferior izquierda de la pantalla.</t>
        </r>
      </text>
    </comment>
    <comment ref="H51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trabajaron en el mismo cargo en los últimos 10 años, dejar el 120. De lo contraro fraccionar con la cantidad de meses.</t>
        </r>
      </text>
    </comment>
    <comment ref="E53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F56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si el docente se jubiló con menos de 24 años de servicio será menor.</t>
        </r>
      </text>
    </comment>
    <comment ref="D126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no saben el número del cargo, lo pueden buscar en la hoja cargos, cuya pestaña aparece en parte inferior izquierda de la pantalla.</t>
        </r>
      </text>
    </comment>
    <comment ref="H129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trabajaron en el mismo cargo en los últimos 10 años, dejar el 120. De lo contraro fraccionar con la cantidad de meses.</t>
        </r>
      </text>
    </comment>
    <comment ref="E131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F134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si el docente se jubiló con menos de 24 años de servicio será menor.</t>
        </r>
      </text>
    </comment>
    <comment ref="D205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no saben el número del cargo, lo pueden buscar en la hoja cargos, cuya pestaña aparece en parte inferior izquierda de la pantalla.</t>
        </r>
      </text>
    </comment>
    <comment ref="H208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trabajaron en el mismo cargo en los últimos 10 años, dejar el 120. De lo contraro fraccionar con la cantidad de meses.</t>
        </r>
      </text>
    </comment>
    <comment ref="E210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F213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si el docente se jubiló con menos de 24 años de servicio será menor.</t>
        </r>
      </text>
    </comment>
    <comment ref="D284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no saben el número del cargo, lo pueden buscar en la hoja cargos, cuya pestaña aparece en parte inferior izquierda de la pantalla.</t>
        </r>
      </text>
    </comment>
    <comment ref="H287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trabajaron en el mismo cargo en los últimos 10 años, dejar el 120. De lo contraro fraccionar con la cantidad de meses.</t>
        </r>
      </text>
    </comment>
    <comment ref="E289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F292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si el docente se jubiló con menos de 24 años de servicio será menor.</t>
        </r>
      </text>
    </comment>
  </commentList>
</comments>
</file>

<file path=xl/sharedStrings.xml><?xml version="1.0" encoding="utf-8"?>
<sst xmlns="http://schemas.openxmlformats.org/spreadsheetml/2006/main" count="1046" uniqueCount="541">
  <si>
    <t>MENU</t>
  </si>
  <si>
    <t>horas nivel medio</t>
  </si>
  <si>
    <t>horas nivel superior</t>
  </si>
  <si>
    <t>Si desean imprimir una situación, realicen el siguiente procedimiento: seleccionar con el mouse el área donde</t>
  </si>
  <si>
    <t xml:space="preserve">aparece el recibo que se desea imprimir, y con eso seleccionado, ir a archivo, imprimir y elegir la opción </t>
  </si>
  <si>
    <t>selección, de lo contrario les va a imprimir toda la planilla, incluyendo comentarios, etc.</t>
  </si>
  <si>
    <t>Víctor Hugo Hutt</t>
  </si>
  <si>
    <t>AGMER Seccional Uruguay</t>
  </si>
  <si>
    <r>
      <t xml:space="preserve">Sueldo básico de la categ. </t>
    </r>
    <r>
      <rPr>
        <b/>
        <sz val="10"/>
        <rFont val="Arial"/>
        <family val="2"/>
      </rPr>
      <t>(del activo)</t>
    </r>
  </si>
  <si>
    <t>Porcentaje de Antigüedad</t>
  </si>
  <si>
    <t>(No poner el símbolo %)</t>
  </si>
  <si>
    <t>Puntos básicos</t>
  </si>
  <si>
    <t>Se calcula solo</t>
  </si>
  <si>
    <t>Sueldo básico</t>
  </si>
  <si>
    <t>Antigüedad</t>
  </si>
  <si>
    <t>Haberes</t>
  </si>
  <si>
    <t>Federació de  jubil</t>
  </si>
  <si>
    <t>Aporte IOSPER</t>
  </si>
  <si>
    <t>Seguro ley 3011</t>
  </si>
  <si>
    <t>Reajuste cod 709</t>
  </si>
  <si>
    <t>Serv Sepelio IAPS</t>
  </si>
  <si>
    <t>Otros descuentos</t>
  </si>
  <si>
    <t>Descuentos</t>
  </si>
  <si>
    <t>Líquido</t>
  </si>
  <si>
    <t>Jubilado - HORAS DE NIVEL MEDIO</t>
  </si>
  <si>
    <t>Número de horas</t>
  </si>
  <si>
    <t>Jubilado - HORAS DE NIVEL Superior</t>
  </si>
  <si>
    <t>Tarea</t>
  </si>
  <si>
    <t>Prol</t>
  </si>
  <si>
    <t>Jornada</t>
  </si>
  <si>
    <t>CARGO</t>
  </si>
  <si>
    <t>NOMBRE</t>
  </si>
  <si>
    <t>PUNTOS</t>
  </si>
  <si>
    <t>DIFER.</t>
  </si>
  <si>
    <t>JORN</t>
  </si>
  <si>
    <t>Compl</t>
  </si>
  <si>
    <t>JEFE DE PRECEPTORES DE 2DA Y 3RA CATEGORIA</t>
  </si>
  <si>
    <t xml:space="preserve"> RESP. AREA ASISTEMATICA Y SISTEMATICA</t>
  </si>
  <si>
    <t xml:space="preserve"> SUPERVISOR D.E.M.Y.A.</t>
  </si>
  <si>
    <t xml:space="preserve"> SECRETARIO DOCENTE D.E.M.Y.A.</t>
  </si>
  <si>
    <t xml:space="preserve"> TECNICO PEDAGOGICO</t>
  </si>
  <si>
    <t xml:space="preserve"> DIRECTOR 1ERA CATEGORIA</t>
  </si>
  <si>
    <t xml:space="preserve"> DIRECTOR 2DA CATEGORIA</t>
  </si>
  <si>
    <t xml:space="preserve"> REGENTE ESC. TECNICA 1ERA CATEGORIA</t>
  </si>
  <si>
    <t xml:space="preserve"> DIRECTOR 3ERA CATEGORIA</t>
  </si>
  <si>
    <t xml:space="preserve"> VICEDIRECTOR 1ERA CATEGORIA</t>
  </si>
  <si>
    <t xml:space="preserve"> VICEDIRECTOR 2DA CATEGORIA</t>
  </si>
  <si>
    <t xml:space="preserve"> JEFE AGROPECUARIO 1ERA CATEGORIA</t>
  </si>
  <si>
    <t xml:space="preserve"> JEFE AGROPECUARIO 2DA CATEGORIA</t>
  </si>
  <si>
    <t xml:space="preserve"> JEFE AGROPECUARIO 3ERA CATEGORIA</t>
  </si>
  <si>
    <t xml:space="preserve"> JEFE SECCION ESC. AGROPECUARIA</t>
  </si>
  <si>
    <t xml:space="preserve"> REGENTE ESC. TECNICA 2DA CATEGORIA</t>
  </si>
  <si>
    <t xml:space="preserve"> MAESTRO ENS PRACT - JEFE SECCION</t>
  </si>
  <si>
    <t xml:space="preserve"> MAESTRO ENS PRACT - 1RA 2DA 3RA</t>
  </si>
  <si>
    <t xml:space="preserve"> JEFE INTERNADO 1ERA CATEGORIA</t>
  </si>
  <si>
    <t xml:space="preserve"> JEFE INTERNADO 3ERA CATEGORIA</t>
  </si>
  <si>
    <t xml:space="preserve"> SECRETARIO 1ERA CATEGORIA</t>
  </si>
  <si>
    <t xml:space="preserve"> SECRETARIO 2DA CATEGORIA</t>
  </si>
  <si>
    <t xml:space="preserve"> SECRETARIO 3ERA CATEGORIA</t>
  </si>
  <si>
    <t xml:space="preserve"> MAESTRO TECNOLOGICO Y ESPECIALIDADES</t>
  </si>
  <si>
    <t xml:space="preserve"> MAESTRO AYUD ENS PRACT 1RA 2DA 3RA</t>
  </si>
  <si>
    <t xml:space="preserve"> PRECEPTOR AYUDANTE INTERNADO 1ERA CATEGORIA</t>
  </si>
  <si>
    <t xml:space="preserve"> PRECEPTOR AYUDANTE INTERNADO 3ERA CATEGORIA</t>
  </si>
  <si>
    <t xml:space="preserve"> PRECEPTOR</t>
  </si>
  <si>
    <t xml:space="preserve"> BIBLIOTECARIO</t>
  </si>
  <si>
    <t xml:space="preserve"> MAESTRO DE GRADO</t>
  </si>
  <si>
    <t xml:space="preserve"> JEFE DE LABORATORIO</t>
  </si>
  <si>
    <t xml:space="preserve"> JEFE DE ENS PRACTICA</t>
  </si>
  <si>
    <t xml:space="preserve"> AYTE TEC DE TRAB PRACT/LABORATORIO</t>
  </si>
  <si>
    <t xml:space="preserve"> SUBJEFE DE PRECEPT 1RA CAT</t>
  </si>
  <si>
    <t xml:space="preserve"> RECTOR PROYECTO 13</t>
  </si>
  <si>
    <t xml:space="preserve"> JEFE INTERNADO 2DA CATEGORIA</t>
  </si>
  <si>
    <t xml:space="preserve"> PRECEPTOR AYUDANTE DE INTERNADO 2DA CATEGORIA</t>
  </si>
  <si>
    <t xml:space="preserve"> VICEDIRECTOR 3ERA CATEGORIA</t>
  </si>
  <si>
    <t xml:space="preserve"> VICERECTOR PROYECTO 13</t>
  </si>
  <si>
    <t xml:space="preserve"> ASESOR PEDAG PROYECTO 13</t>
  </si>
  <si>
    <t xml:space="preserve"> AYUDANTE CLASES PRACTICAS (14 Hs)</t>
  </si>
  <si>
    <t xml:space="preserve"> INSTRUCTOR COMPLEJO AGRARIO</t>
  </si>
  <si>
    <t xml:space="preserve"> DIRECTOR DE 1° C.E.F.</t>
  </si>
  <si>
    <t xml:space="preserve"> MAESTRO DE CICLO E.G.B.</t>
  </si>
  <si>
    <t xml:space="preserve"> COORDINADOR DE ACCIONES NO FORMALES</t>
  </si>
  <si>
    <t xml:space="preserve"> AUXILIAR DE ACCIONES NO FORMALES</t>
  </si>
  <si>
    <t xml:space="preserve"> INSTRUCTOR ESC. AGROPECUARIAS</t>
  </si>
  <si>
    <t xml:space="preserve"> JEFE TALLER ESC. TECNICA 3ERA CATEGORIA</t>
  </si>
  <si>
    <t xml:space="preserve"> JEFE TALLER ESC. TECNICA 1ERA CATEGORIA</t>
  </si>
  <si>
    <t xml:space="preserve"> JEFE TALLER ESC. TECNICA 2DA CATEGORIA</t>
  </si>
  <si>
    <t xml:space="preserve"> PROSECRETARIO 1ERA CAT.</t>
  </si>
  <si>
    <t xml:space="preserve"> PROSECRETARIO 2DA Y 3ERA CAT.</t>
  </si>
  <si>
    <t xml:space="preserve"> JEFE DE PRECEPTORES 1ERA CAT.</t>
  </si>
  <si>
    <t xml:space="preserve"> JEFE DE PRECEPTORES 2DA Y 3ERA CAT.</t>
  </si>
  <si>
    <t xml:space="preserve"> SUBJEFE DE PRECEPTORES 1ERA CAT.</t>
  </si>
  <si>
    <t xml:space="preserve"> JEFE DE PRECEPTORES J. C. AGRARIA</t>
  </si>
  <si>
    <t xml:space="preserve"> JEFE GRAL. DE ENSENANZA PRACTICA 3RA CAT.</t>
  </si>
  <si>
    <r>
      <t xml:space="preserve"> JEFE DPTO. EDUCACION FISICA</t>
    </r>
    <r>
      <rPr>
        <b/>
        <sz val="9"/>
        <color indexed="10"/>
        <rFont val="Arial"/>
        <family val="2"/>
      </rPr>
      <t xml:space="preserve"> (transformado) 971 + 620</t>
    </r>
  </si>
  <si>
    <t xml:space="preserve"> DIRECTOR DE 1ERA CAT. CON PROLONG. DE JORN.</t>
  </si>
  <si>
    <t xml:space="preserve"> DIRECTOR DE 2DA CAT. CON PROLONG. DE JORN.</t>
  </si>
  <si>
    <t xml:space="preserve"> DIRECTOR DE 3ERA CAT. CON PROLONG. DE JORN.</t>
  </si>
  <si>
    <t xml:space="preserve"> VICEDIRECTOR DE 1ERA CAT. CON PROLONG. DE JORN.</t>
  </si>
  <si>
    <t xml:space="preserve"> VICEDIRECTOR DE 2DA CAT. CON PROLONG. DE JORN.</t>
  </si>
  <si>
    <t xml:space="preserve"> DIRECTOR DE 1ERA A/C DE 2 TURNOS CON P. DE JORN</t>
  </si>
  <si>
    <t xml:space="preserve"> DIRECTOR DE 2DA A/C DE 2 TURNOS CON P. DE JORN.</t>
  </si>
  <si>
    <t xml:space="preserve"> DIRECTOR DE 3ERA A/C DE 2 TURNOS CON P. DE JORN.</t>
  </si>
  <si>
    <t xml:space="preserve"> JEFE SECCION ESC. AGROP. CON PROLONG. DE JORN.</t>
  </si>
  <si>
    <t xml:space="preserve"> JEFE INTERN. 1ERA CAT. ESC. AGROP. CON P. DE JORN.</t>
  </si>
  <si>
    <t xml:space="preserve"> JEFE INTERN. 2DA CAT. ESC. AGROP. CON P. DE JORN.</t>
  </si>
  <si>
    <t xml:space="preserve"> JEFE INTERN. 3ERA CAT. ESC. AGROP. CON P. DE JORN.</t>
  </si>
  <si>
    <t xml:space="preserve"> PRECEPTOR AYUDANTE INTERN. 1ERA CAT. CON P. DE JORN. (Pasó a 684)</t>
  </si>
  <si>
    <t xml:space="preserve"> PRECEPTOR AYUDANTE INTERN. 2DA CAT. CON P. DE JORN. (Pasó a 684)</t>
  </si>
  <si>
    <t xml:space="preserve"> PRECEPTOR AYUDANTE INTERNADO</t>
  </si>
  <si>
    <t xml:space="preserve"> VICEDIRECTOR ESC. 3ERA CAT. CON PROLONG. DE JORN.</t>
  </si>
  <si>
    <t xml:space="preserve"> DIRECTOR DE 1ERA CAT. A/C DE 3 TURNOS CON P. DE JORN.</t>
  </si>
  <si>
    <t xml:space="preserve"> DIRECTOR DE 2DA CAT. A/C DE 3 TURNOS CON P. DE JORN.</t>
  </si>
  <si>
    <t xml:space="preserve"> DIRECTOR DE 3ERA CAT. A/C DE 3 TURNOS CON P. DE JORN.</t>
  </si>
  <si>
    <t xml:space="preserve"> PRECEPTOR AYUDANTE INTERN. ESC. TECNICA (Pasó a 684)</t>
  </si>
  <si>
    <t>JEFE SECTORIAL DE JORNADA COMPLETA AGRARIA</t>
  </si>
  <si>
    <t xml:space="preserve"> JEFE INTERN. ESC. TECNICA 1ERA CAT. CON PROL. DE JORN.</t>
  </si>
  <si>
    <t xml:space="preserve"> JEFE INTERN. ESC. TECNICA 2DA CAT. CON PROL. DE JORN.</t>
  </si>
  <si>
    <t xml:space="preserve"> JEFE INTERN. ESC. TECNICA 3ERA CAT. CON PROL. DE JORN.</t>
  </si>
  <si>
    <t xml:space="preserve"> AYUDANTE DE CATEDRA</t>
  </si>
  <si>
    <t xml:space="preserve"> REGENTE DE 3ERA CAT.</t>
  </si>
  <si>
    <t xml:space="preserve"> SUBREGENTE DE 1ERA CAT.</t>
  </si>
  <si>
    <t xml:space="preserve"> JEFE GRAL. DE ENS. PRACTICA 1ERA CAT.</t>
  </si>
  <si>
    <t xml:space="preserve"> JEFE GRAL. DE ENS. PRACTICA 2DA CAT.</t>
  </si>
  <si>
    <t xml:space="preserve"> MAESTRO DE GRADO ESC. ANEXAS FFAA</t>
  </si>
  <si>
    <t xml:space="preserve"> ASESORES</t>
  </si>
  <si>
    <t xml:space="preserve"> DIRECTOR ESC. 3RA CAT. ESC. ANEXAS FFAA</t>
  </si>
  <si>
    <t xml:space="preserve"> DIRECTOR ESC. 2DA CAT. ESC. ANEXAS FFAA</t>
  </si>
  <si>
    <t xml:space="preserve"> COORDINADOR HOGAR ESCUELA</t>
  </si>
  <si>
    <t xml:space="preserve"> JEFE DEPARTAMENTO TECNICO</t>
  </si>
  <si>
    <t xml:space="preserve"> SUPERVISOR DE ENSENANZA ESPECIAL</t>
  </si>
  <si>
    <t xml:space="preserve"> SUPERVISOR DE EDUCACION FISICA</t>
  </si>
  <si>
    <t xml:space="preserve"> SUPERVISOR DE EDUCACION MUSICAL</t>
  </si>
  <si>
    <t xml:space="preserve"> TECNICO DOCENTE</t>
  </si>
  <si>
    <t xml:space="preserve"> SECRETARIO DOCENTE HOGAR ESCUELA</t>
  </si>
  <si>
    <t xml:space="preserve"> DIRECTOR ESCUELA 1ERA CATEGORIA</t>
  </si>
  <si>
    <t xml:space="preserve"> DIRECTOR NIVEL INICIAL 1ERA CATEGORIA</t>
  </si>
  <si>
    <t xml:space="preserve"> DIRECTOR ESCUELA 2DA CATEGORIA</t>
  </si>
  <si>
    <t xml:space="preserve"> DIRECTOR NIVEL INICIAL 2DA CATEGORIA</t>
  </si>
  <si>
    <t xml:space="preserve"> DIRECTOR ESCUELA EDUCACION ESPECIAL</t>
  </si>
  <si>
    <t xml:space="preserve"> DIRECTOR ESCUELA 3ERA CATEGORIA</t>
  </si>
  <si>
    <t xml:space="preserve"> VICEDIRECTOR ESCUELA 1ERA CATEGORIA</t>
  </si>
  <si>
    <t xml:space="preserve"> DIRECTOR ESCUELA CARCEL</t>
  </si>
  <si>
    <t xml:space="preserve"> DIRECTOR ESCUELA 4TA CATEGORIA</t>
  </si>
  <si>
    <t xml:space="preserve"> TECNICO DIFERENCIADO</t>
  </si>
  <si>
    <t xml:space="preserve"> VICEDIRECTOR ESCUELA 2DA CATEGORIA</t>
  </si>
  <si>
    <t xml:space="preserve"> DIRECTOR ESCUELA MATERNAL</t>
  </si>
  <si>
    <t xml:space="preserve"> DIRECTOR ESCUELA ADULTOS 1ERA CATEGORIA</t>
  </si>
  <si>
    <t xml:space="preserve"> DIRECTOR ESCUELA CORAL</t>
  </si>
  <si>
    <t xml:space="preserve"> DIRECTOR ESCUELA ADULTOS 2DA CATEGORIA</t>
  </si>
  <si>
    <t xml:space="preserve"> MAESTRO DOMICILIARIO</t>
  </si>
  <si>
    <t xml:space="preserve"> VISITADOR</t>
  </si>
  <si>
    <t xml:space="preserve"> ASISTENTE SOCIAL</t>
  </si>
  <si>
    <t xml:space="preserve"> MAESTRO ESCUELA DIFERENCIADA</t>
  </si>
  <si>
    <t xml:space="preserve"> DIRECTOR PARQUE ESCOLAR "E. BERDUC"</t>
  </si>
  <si>
    <t xml:space="preserve"> MAESTRO ESPECIAL EDUCACION MUSICAL DIFERENCIADO</t>
  </si>
  <si>
    <t xml:space="preserve"> MAESTRO JARDIN DE INFANTES</t>
  </si>
  <si>
    <t xml:space="preserve"> MAESTRO DE GRADO DIFERENCIADO</t>
  </si>
  <si>
    <t xml:space="preserve"> MAESTRO CARCELARIO</t>
  </si>
  <si>
    <t xml:space="preserve"> SECRETARIO ESCUELA 2DA CATEGORIA</t>
  </si>
  <si>
    <t xml:space="preserve"> MAESTRO ESPECIAL ACTIVIDAD PRACTICAS DIFERENCIADA</t>
  </si>
  <si>
    <t xml:space="preserve"> MAESTRO ESCUELA MATERNAL</t>
  </si>
  <si>
    <t xml:space="preserve"> SECRETARIO ESCUELA 1ERA CATEGORIA</t>
  </si>
  <si>
    <t xml:space="preserve"> MAESTRO ESPECIAL ESCUELA CORAL</t>
  </si>
  <si>
    <t xml:space="preserve"> MAESTRO AUXILIAR ESCUELA DIFERENCIADA</t>
  </si>
  <si>
    <t xml:space="preserve"> MAESTRO EDUCACION FISICA</t>
  </si>
  <si>
    <t xml:space="preserve"> SECRETARIO ESCUELA ADULTOS</t>
  </si>
  <si>
    <t xml:space="preserve"> PSICOPEDAGOGO</t>
  </si>
  <si>
    <t xml:space="preserve"> TECNICO DOCENTE ENSENANZA ESPECIAL</t>
  </si>
  <si>
    <t xml:space="preserve"> DIRECTOR ESCUELA PARA CIEGOS</t>
  </si>
  <si>
    <t xml:space="preserve"> MAESTRO ESCUELA NOCTURNA</t>
  </si>
  <si>
    <t xml:space="preserve"> MAESTRO ESPECIAL ACTIVIDADES PRACTICAS</t>
  </si>
  <si>
    <t xml:space="preserve"> SECRETARIO PARQUE ESCOLAR</t>
  </si>
  <si>
    <t xml:space="preserve"> MAESTRO ESPECIAL ACTIVIDADES PRACTICAS ADULTO</t>
  </si>
  <si>
    <t xml:space="preserve"> MAESTRO ESPECIAL TECNICO AGROPECUARIO</t>
  </si>
  <si>
    <t xml:space="preserve"> MAESTRO HOSPITALARIO</t>
  </si>
  <si>
    <t xml:space="preserve"> BIBLIOTECARIO PEDAGOGICO</t>
  </si>
  <si>
    <t xml:space="preserve"> COORDINADOR CENTRO LABORAL</t>
  </si>
  <si>
    <t xml:space="preserve"> COORDINADOR DEPARTAMENTAL</t>
  </si>
  <si>
    <t xml:space="preserve"> MAESTRO ESPECIAL EDUCACION MUSICAL</t>
  </si>
  <si>
    <t xml:space="preserve"> FONOAUDIOLOGO</t>
  </si>
  <si>
    <t xml:space="preserve"> PSICOLOGO</t>
  </si>
  <si>
    <t xml:space="preserve"> DIRECTOR ESCUELA PARA SORDOS</t>
  </si>
  <si>
    <t xml:space="preserve"> VICEDIRECTOR ESCUELA ENSENANZA ESPECIAL</t>
  </si>
  <si>
    <t xml:space="preserve"> MAESTRO ESPECIAL EDUCACION FISICA DIFERENCIADO</t>
  </si>
  <si>
    <t xml:space="preserve"> SECRETARIO DOCENTE</t>
  </si>
  <si>
    <t xml:space="preserve"> SUPERVISOR ENSENANZA ADULTOS</t>
  </si>
  <si>
    <t xml:space="preserve"> MAESTRO AUXILIAR ESCUELA DIFERENCIADA JORNADA COMPLETA</t>
  </si>
  <si>
    <t xml:space="preserve"> MAESTRO ESPECIAL ACT. PRACT. DIFERENCIADA J. COMPLETA</t>
  </si>
  <si>
    <t xml:space="preserve"> MAESTRO ESPECIAL DE TALLER</t>
  </si>
  <si>
    <t xml:space="preserve"> MAESTRO ESPECIAL DE TALLER ANEXO ALBERGUE</t>
  </si>
  <si>
    <t xml:space="preserve"> DIRECTOR NIVEL INICIAL 3ERA CATEGORIA</t>
  </si>
  <si>
    <t xml:space="preserve"> CAPACITADORES CENTROS LABORALES   mecl</t>
  </si>
  <si>
    <t xml:space="preserve"> JEFE DPTO PEDAGOGICO Y SUPERVISION</t>
  </si>
  <si>
    <t>COORD. DPTAL. DE CENTROS P/ADULTOS</t>
  </si>
  <si>
    <t xml:space="preserve"> ASESOR PSICOLOGIA EDUCATIVA</t>
  </si>
  <si>
    <t xml:space="preserve"> MAESTRO NIVELADOR</t>
  </si>
  <si>
    <t xml:space="preserve"> SUPERVISOR NIVEL INICIAL</t>
  </si>
  <si>
    <t xml:space="preserve"> SUPERVISOR BIBLIOTECAS ESCOLARES</t>
  </si>
  <si>
    <t xml:space="preserve"> SUPERVISOR TECNICO</t>
  </si>
  <si>
    <t xml:space="preserve"> DIRECTOR DPTO APLICACION</t>
  </si>
  <si>
    <t xml:space="preserve"> VICEDIRECTOR DPTO APLICACION DE 2DA CATEGORIA </t>
  </si>
  <si>
    <t xml:space="preserve"> SECRETARIO DPTO APLICACION</t>
  </si>
  <si>
    <t xml:space="preserve"> MAESTRO DPTO APLICACION</t>
  </si>
  <si>
    <t xml:space="preserve"> MAESTRO MATERIAS ESPECIALES DPTO APLICACION</t>
  </si>
  <si>
    <t xml:space="preserve"> DIRECTOR 1ERA CATEGORIA JORNADA COMPLETA</t>
  </si>
  <si>
    <t xml:space="preserve"> DIRECTOR 2DA CATEGORIA JORNADA COMPLETA</t>
  </si>
  <si>
    <t xml:space="preserve"> DIRECTOR 3ERA CATEGORIA JORNADA COMPLETA</t>
  </si>
  <si>
    <t xml:space="preserve"> DIRECTOR 4TA CATEGORIA JORNADA COMPLETA</t>
  </si>
  <si>
    <t xml:space="preserve"> VICEDIRECTOR 2DA CATEGORIA JORNADA COMPLETA</t>
  </si>
  <si>
    <t xml:space="preserve"> MAESTRO DE GRADO JORNADA COMPLETA</t>
  </si>
  <si>
    <t xml:space="preserve"> MAESTRO ESPECIAL DE ACT. PRACTICAS JORN. COMPLETA</t>
  </si>
  <si>
    <t xml:space="preserve"> MAESTRO JARDIN DE INFANTES JORNADA COMPLETA</t>
  </si>
  <si>
    <t xml:space="preserve"> VICEDIRECTOR NIVEL INICIAL 2DA CATEGORIA</t>
  </si>
  <si>
    <t xml:space="preserve"> DIRECTOR 2DA ANEXO ALBERGUE</t>
  </si>
  <si>
    <t xml:space="preserve"> MAESTRO DE GRADO ANEXO ALBERGUE</t>
  </si>
  <si>
    <t xml:space="preserve"> MAESTRO ESP. ACTIV. PRACTICAS ANEXO ALBERGUE</t>
  </si>
  <si>
    <t xml:space="preserve"> DIRECTOR 3ERA CATEGORIA ANEXO ALBERGUE</t>
  </si>
  <si>
    <t xml:space="preserve"> DIRECTOR 4TA CATEGORIA ANEXO ALBERGUE</t>
  </si>
  <si>
    <t xml:space="preserve"> CELADOR ANEXO ALBERGUE</t>
  </si>
  <si>
    <t xml:space="preserve"> VICEDIRECTOR 1ERA CATEGORIA JORNADA COMPLETA</t>
  </si>
  <si>
    <t xml:space="preserve"> SECRETARIO 1ERA CATEGORIA JORNADA COMPLETA</t>
  </si>
  <si>
    <t xml:space="preserve"> SECRETARIO 2DA CATEGORIA JORNADA COMPLETA</t>
  </si>
  <si>
    <t xml:space="preserve"> SECRETARIO 3ERA CATEGORIA JORNADA COMPLETA</t>
  </si>
  <si>
    <t xml:space="preserve"> TECNICO DEL PROGRAMA 35 HS</t>
  </si>
  <si>
    <t xml:space="preserve"> RESPONSABLE ZONAL O SECTORIAL</t>
  </si>
  <si>
    <t xml:space="preserve"> EDUCADOR DE ADULTOS</t>
  </si>
  <si>
    <t xml:space="preserve"> MAESTRO ESPECIAL EDUCACION MUSICAL JORNADA COMPLETA</t>
  </si>
  <si>
    <t xml:space="preserve"> MAESTRO ESPECIAL EDUCACION FISICA JORN. COMPLETA</t>
  </si>
  <si>
    <t xml:space="preserve"> MAESTRO ESPECIAL JORNADA SIMPLE SIN PROLONGACION DE JORNADA</t>
  </si>
  <si>
    <t xml:space="preserve"> MAESTRO ESPECIAL EDUCACION MUSICAL ANEXO ALBERGUE</t>
  </si>
  <si>
    <t xml:space="preserve"> MAESTRO ESPECIAL EDUCACION FISICA ANEXO ALBERGUE</t>
  </si>
  <si>
    <t xml:space="preserve"> MAESTRO ESPECIAL DE TALLER JORNADA COMPLETA</t>
  </si>
  <si>
    <t xml:space="preserve"> MAESTRO ESPECIAL TECNICO AGROPECUARIO JORN. COMPLETA</t>
  </si>
  <si>
    <t xml:space="preserve"> DIRECTOR PERSONAL UNICO</t>
  </si>
  <si>
    <t xml:space="preserve"> SECRETARIO ESCUELA 3ERA CATEGORIA</t>
  </si>
  <si>
    <t xml:space="preserve"> COORDINADOR CENTRO COMUNITARIO</t>
  </si>
  <si>
    <t xml:space="preserve"> MAESTRO GRADO EGB3 (PRIMARIA)</t>
  </si>
  <si>
    <t xml:space="preserve"> JEFE DPTO PEDAGOGICO Y DE SUPERVISION</t>
  </si>
  <si>
    <t xml:space="preserve"> SUPERVISOR INSTITUTO SUPERIOR</t>
  </si>
  <si>
    <t xml:space="preserve"> SUPERVISOR ENSE¥ANZA ESPECIAL</t>
  </si>
  <si>
    <t xml:space="preserve"> SUPERVISOR ENSE¥ANZA PRIMARIA</t>
  </si>
  <si>
    <t xml:space="preserve"> VICERECTOR INSTITUTO SUPERIOR</t>
  </si>
  <si>
    <t xml:space="preserve"> SECRETARIO TECNICO DPTO. PEDAGOGICO</t>
  </si>
  <si>
    <t xml:space="preserve"> DIRECTOR PRIMERA CATEGORIA</t>
  </si>
  <si>
    <t xml:space="preserve"> DIRECTOR SEGUNDA CATEGORIA</t>
  </si>
  <si>
    <t xml:space="preserve"> DIRECTOR TERCERA CATEGORIA</t>
  </si>
  <si>
    <t xml:space="preserve"> DIRECTOR CUARTA CATEGORIA</t>
  </si>
  <si>
    <t xml:space="preserve"> DIRECTOR ESC. NIVEL INICIAL 2DA CATEGORIA</t>
  </si>
  <si>
    <t xml:space="preserve"> VICEDIRECTOR ESC. PRIMARIA 1ERA CATEGORIA</t>
  </si>
  <si>
    <t xml:space="preserve"> VICEDIRECTOR ESC. PRIMARIA 2DA CATEGORIA</t>
  </si>
  <si>
    <t xml:space="preserve"> VICEDIRECTOR ESC. EDUCACION ESPECIAL</t>
  </si>
  <si>
    <t xml:space="preserve"> SECRETARIO ESC. 2DA CATEGORIA</t>
  </si>
  <si>
    <t xml:space="preserve"> MAESTRO DE GRADO ESC. PRIMARIA</t>
  </si>
  <si>
    <t xml:space="preserve"> MAESTRO DE JARDIN DE INFANTES</t>
  </si>
  <si>
    <t xml:space="preserve"> MAESTRO DE GRUPO ESC. DIFERENCIADA</t>
  </si>
  <si>
    <t xml:space="preserve"> MAESTRO DE GRADO ADULTOS</t>
  </si>
  <si>
    <t xml:space="preserve"> MAESTRO DE EDUCACION FISICA</t>
  </si>
  <si>
    <t xml:space="preserve"> MAESTRO MATERIAS ESPECIALES</t>
  </si>
  <si>
    <t xml:space="preserve"> MAESTRO MATERIAS ESPECIALES ESC. DIFERENCIADA</t>
  </si>
  <si>
    <t xml:space="preserve"> PRECEPTOR ESC. DIFERENCIADA</t>
  </si>
  <si>
    <t xml:space="preserve"> DIRECTOR ESCUELA CAPACITACION TECNICA 4TA CATEGORIA</t>
  </si>
  <si>
    <t xml:space="preserve"> MAESTRO ESC. CAPACITACION TECNICA</t>
  </si>
  <si>
    <t xml:space="preserve"> RECTOR INSTITUTO SUPERIOR</t>
  </si>
  <si>
    <t xml:space="preserve"> SECRETARIO INSTITUTO SUPERIOR</t>
  </si>
  <si>
    <t xml:space="preserve"> BIBLIOTECARIO INSTITUTO SUPERIOR</t>
  </si>
  <si>
    <t xml:space="preserve"> PRECEPTOR INSTITUTO SUPERIOR</t>
  </si>
  <si>
    <t xml:space="preserve"> BEDEL</t>
  </si>
  <si>
    <t>PRECEPTOR INSTITUTO SUPERIOR - PRIVADA</t>
  </si>
  <si>
    <t xml:space="preserve"> DIRECTOR ESC. CAPACITACION TECNICA 3ERA CATEGORIA</t>
  </si>
  <si>
    <t xml:space="preserve"> DIRECTOR ESC. CAPACITACION TECNICA 1ERA CATEGORIA</t>
  </si>
  <si>
    <t xml:space="preserve"> DIRECTOR ESC. CAPACITACION TECNICA 2DA CATEGORIA</t>
  </si>
  <si>
    <t xml:space="preserve"> SECRETARIO ESC. PRIMARIA 1ERA CATEGORIA</t>
  </si>
  <si>
    <t xml:space="preserve"> DIRECTOR ESC. 2DA CATEGORIA JORNADA COMPLETA</t>
  </si>
  <si>
    <t xml:space="preserve"> MAESTRO DE EDUCACION FISICA JORNADA COMPLETA</t>
  </si>
  <si>
    <t xml:space="preserve"> MAESTRO DE ACTIVIDADES PRACTICAS JORNADA COMPLETA</t>
  </si>
  <si>
    <t xml:space="preserve"> MAESTRO DE EDUCACION MUSICAL JORNADA COMPLETA</t>
  </si>
  <si>
    <t xml:space="preserve"> VICEDIRECTOR ESC. 2DA CATEGORIA JORNADA COMPLETA</t>
  </si>
  <si>
    <t xml:space="preserve"> DIRECTOR ESC. 3ERA CAT. JORNADA COMPLETA</t>
  </si>
  <si>
    <t xml:space="preserve"> SECRETARIO DOCENTE PRIVADA</t>
  </si>
  <si>
    <t xml:space="preserve"> SECRETARIO DOCENTE ESCUELA ENFERMERIA</t>
  </si>
  <si>
    <t xml:space="preserve"> SECRETARIO ADMINISTRATIVO ESCUELA ENFERMERIA</t>
  </si>
  <si>
    <t xml:space="preserve"> INSTRUCTOR INSTITUTO SUPERIOR</t>
  </si>
  <si>
    <t xml:space="preserve"> SECRETARIO DOCENTE SUPERIOR</t>
  </si>
  <si>
    <t xml:space="preserve"> SECRETARIO ACADEMICO</t>
  </si>
  <si>
    <t xml:space="preserve"> JEFE LABORATORIO COMPUTACION</t>
  </si>
  <si>
    <t xml:space="preserve"> MAESTRO ESCUELA ESPECIAL</t>
  </si>
  <si>
    <t xml:space="preserve"> PRECEPTOR GUIA INTERNADO INSTITUTO SUPERIOR</t>
  </si>
  <si>
    <t xml:space="preserve"> SECRETARIO ESCUELA ESPECIAL</t>
  </si>
  <si>
    <t xml:space="preserve"> DIRECTOR ESC. NIVEL INICIAL 3era CATEGORIA</t>
  </si>
  <si>
    <t xml:space="preserve"> DIRECTOR ESC. NIVEL INICIAL 4ta CATEGORIA</t>
  </si>
  <si>
    <t xml:space="preserve"> KINESIOLOGO</t>
  </si>
  <si>
    <t xml:space="preserve"> MAESTRO ORIENTADOR</t>
  </si>
  <si>
    <t xml:space="preserve"> MAESTRO DE EDUCACION MUSICAL</t>
  </si>
  <si>
    <t xml:space="preserve"> MAESTRO DE ACTIVIDADES PRACTICAS</t>
  </si>
  <si>
    <t xml:space="preserve"> DIRECTOR DPTO APLICACIÓN L. V.</t>
  </si>
  <si>
    <t xml:space="preserve"> SUBDIRECTOR JARDIN DE INFANTES</t>
  </si>
  <si>
    <t xml:space="preserve"> MAESTRO DE GRADO L.V.</t>
  </si>
  <si>
    <t xml:space="preserve"> MAESTRO ESP DPTO APLICACION L.V.</t>
  </si>
  <si>
    <t xml:space="preserve"> ANALISTA TECNICO</t>
  </si>
  <si>
    <t xml:space="preserve"> MAESTRO ESPECIAL JARDIN DEINFANTES</t>
  </si>
  <si>
    <t xml:space="preserve"> DIRECTOR/RECTOR 1§ - 2 TURNOS</t>
  </si>
  <si>
    <t xml:space="preserve"> DIRECTOR/RECTOR 1§ - 3 TURNOS</t>
  </si>
  <si>
    <t xml:space="preserve"> VICEDIRECTOR 1RA Y 2DA</t>
  </si>
  <si>
    <t xml:space="preserve"> REGENTE</t>
  </si>
  <si>
    <t xml:space="preserve"> RECTOR CURSO PROF.</t>
  </si>
  <si>
    <t xml:space="preserve"> SECRETARIO NIVEL SUPERIOR</t>
  </si>
  <si>
    <t xml:space="preserve"> PROSECRETARIO NIVEL SUPERIOR</t>
  </si>
  <si>
    <t xml:space="preserve"> JEFE TRABAJOS PRACTICOS</t>
  </si>
  <si>
    <t xml:space="preserve"> DIRECTOR</t>
  </si>
  <si>
    <t>PUNTOS basicos</t>
  </si>
  <si>
    <t xml:space="preserve"> tarea DIFER.</t>
  </si>
  <si>
    <t>Prol JORN</t>
  </si>
  <si>
    <t>jorn Compl</t>
  </si>
  <si>
    <t>Traslado cod 188</t>
  </si>
  <si>
    <t>Función diferencial</t>
  </si>
  <si>
    <t>prolong. Jorn - Docente</t>
  </si>
  <si>
    <t>Federación de  jubil</t>
  </si>
  <si>
    <t>Dto. 1109/05(cod06act)</t>
  </si>
  <si>
    <t>Jubilado - CARGOS</t>
  </si>
  <si>
    <t>cargos</t>
  </si>
  <si>
    <t xml:space="preserve">Deben seleccionar el número de cargo o  el número de horas que aparecen en rojo, </t>
  </si>
  <si>
    <t>todo lo demás aparece automáticamente</t>
  </si>
  <si>
    <t>Si no conocen el número de cargo, lo pueden buscar en la hoja "cargos", seleccionando la pestaña</t>
  </si>
  <si>
    <t>número para luego ingresarlo en el lugar especificado.</t>
  </si>
  <si>
    <t xml:space="preserve">Meses trabajados en el cargo en los últimos 10 años: </t>
  </si>
  <si>
    <t>Si trabajaron en los últimos 10 años en diferentes cargos, se deberá calcular en forma fraccionada,</t>
  </si>
  <si>
    <t>www.agmeruruguay.com.ar</t>
  </si>
  <si>
    <t>Otros</t>
  </si>
  <si>
    <t>Listado Cargos</t>
  </si>
  <si>
    <t>Dto. 1109/05 (cod 06 act)</t>
  </si>
  <si>
    <t>Fracción</t>
  </si>
  <si>
    <t>Bon zona esc</t>
  </si>
  <si>
    <t>Zona</t>
  </si>
  <si>
    <t>el comentario aparece al posicionar el cursor sobre la celda.</t>
  </si>
  <si>
    <t xml:space="preserve">Leer los comentarios en las celdas que tengan una puntita roja en el ángulo superior derecho, </t>
  </si>
  <si>
    <t>victorhutt@victorhutt.com.ar</t>
  </si>
  <si>
    <t>Control 120 meses:</t>
  </si>
  <si>
    <r>
      <t xml:space="preserve">Jubilado - CARGOS - </t>
    </r>
    <r>
      <rPr>
        <b/>
        <u val="single"/>
        <sz val="16"/>
        <color indexed="10"/>
        <rFont val="Arial"/>
        <family val="2"/>
      </rPr>
      <t>primer cargo</t>
    </r>
  </si>
  <si>
    <r>
      <t xml:space="preserve">Jubilado - CARGOS </t>
    </r>
    <r>
      <rPr>
        <b/>
        <u val="single"/>
        <sz val="16"/>
        <color indexed="12"/>
        <rFont val="Arial"/>
        <family val="2"/>
      </rPr>
      <t>segundo cargo</t>
    </r>
  </si>
  <si>
    <r>
      <t xml:space="preserve">Jubilado - CARGOS - </t>
    </r>
    <r>
      <rPr>
        <b/>
        <u val="single"/>
        <sz val="16"/>
        <color indexed="17"/>
        <rFont val="Arial"/>
        <family val="2"/>
      </rPr>
      <t>tercer cargo</t>
    </r>
  </si>
  <si>
    <r>
      <t xml:space="preserve">Jubilado - CARGOS - </t>
    </r>
    <r>
      <rPr>
        <b/>
        <u val="single"/>
        <sz val="16"/>
        <color indexed="16"/>
        <rFont val="Arial"/>
        <family val="2"/>
      </rPr>
      <t>cuarto cargo</t>
    </r>
  </si>
  <si>
    <t>1º Cargo</t>
  </si>
  <si>
    <t>2º Cargo</t>
  </si>
  <si>
    <t>3º cargo</t>
  </si>
  <si>
    <t>4º cargo</t>
  </si>
  <si>
    <t>Final</t>
  </si>
  <si>
    <t>Puntos Comp basico</t>
  </si>
  <si>
    <t>hasta 971</t>
  </si>
  <si>
    <t>972&lt;pi&lt;= 1169</t>
  </si>
  <si>
    <t>1170&lt;pi&lt;1400</t>
  </si>
  <si>
    <t>1401&lt;pi&lt;1942</t>
  </si>
  <si>
    <t>1943&lt;pi&lt;=2220</t>
  </si>
  <si>
    <t>pi&gt;2220</t>
  </si>
  <si>
    <t>pijc&gt;=620    971</t>
  </si>
  <si>
    <t>JC &gt; 971</t>
  </si>
  <si>
    <t>JC defint</t>
  </si>
  <si>
    <t>Comp Básico</t>
  </si>
  <si>
    <t>Puntos  prol jornada</t>
  </si>
  <si>
    <t>Recibo Final</t>
  </si>
  <si>
    <t>Autor</t>
  </si>
  <si>
    <t>Dec 1266/08 Art 4º</t>
  </si>
  <si>
    <t>Porcentaje de jubilación</t>
  </si>
  <si>
    <t>Aumento</t>
  </si>
  <si>
    <t>Aumento porcentual</t>
  </si>
  <si>
    <t>Simulador para calcular el aumento de sueldo de un jubilado que se desempeñó en varios cargos</t>
  </si>
  <si>
    <t>Completar cada cargo y al final aparecerá el recibo terminado</t>
  </si>
  <si>
    <t>se puede modificar si es necesario</t>
  </si>
  <si>
    <t>Debe sumar 120 meses</t>
  </si>
  <si>
    <t>Los meses se refieren a aumentos a activos, Los jubilados lo recibirán 30 o 60 días después</t>
  </si>
  <si>
    <t>VICEDIRECTOR 1ERA. CAT. C.E.F.</t>
  </si>
  <si>
    <t>REGENTE 1ERA. CAT. C.E.F.</t>
  </si>
  <si>
    <t>Adic directivos</t>
  </si>
  <si>
    <t>otro código</t>
  </si>
  <si>
    <t>Salario hasta febrero 2011</t>
  </si>
  <si>
    <t>Salario Desde marzo de 2.011</t>
  </si>
  <si>
    <t>cod06feb11varios1</t>
  </si>
  <si>
    <t>cod06mar11varios1</t>
  </si>
  <si>
    <t>cod06feb11varios2</t>
  </si>
  <si>
    <t>cod06mar11varios2</t>
  </si>
  <si>
    <t>cod06feb11varios3</t>
  </si>
  <si>
    <t>cod06mar11varios3</t>
  </si>
  <si>
    <t>cod06feb11varios4</t>
  </si>
  <si>
    <t>cod06mar11varios4</t>
  </si>
  <si>
    <t>Adicional Directivos</t>
  </si>
  <si>
    <t>De acuerdo al aumento de Marzo de 2011</t>
  </si>
  <si>
    <t>Otro código</t>
  </si>
  <si>
    <t>Adic Directivos media</t>
  </si>
  <si>
    <t>Desc AGMER 1 %</t>
  </si>
  <si>
    <t>Puntos Comp basico 2013</t>
  </si>
  <si>
    <t>Secretario Esc. Nivel Inicial 1ra CAT</t>
  </si>
  <si>
    <t>Vicedirector DPTO. Aplicación 2da CAT</t>
  </si>
  <si>
    <t>Director Jardín de Infantes</t>
  </si>
  <si>
    <t>Vicedirector Nivel Inicial 1ra Categoría</t>
  </si>
  <si>
    <t xml:space="preserve"> </t>
  </si>
  <si>
    <t>Adic</t>
  </si>
  <si>
    <t>viejo Comp basico</t>
  </si>
  <si>
    <t>repito cargo</t>
  </si>
  <si>
    <t>Adicional directivos</t>
  </si>
  <si>
    <t>Nina</t>
  </si>
  <si>
    <t>Director Dpto. Aplicación 1ra Cat.</t>
  </si>
  <si>
    <t>Vicedirector Dpto Aplicación 1ra CAT</t>
  </si>
  <si>
    <t>Secretario 3ra. CAT Educ. Jóvenes y Adultos</t>
  </si>
  <si>
    <t>adic dir 2014</t>
  </si>
  <si>
    <t>MAESTRO JARDÍN MATERNAL JORNADA EXTENDIDA</t>
  </si>
  <si>
    <t>puntos comp bas 2014</t>
  </si>
  <si>
    <t>Volver al simulador</t>
  </si>
  <si>
    <t>Adic dir 2013</t>
  </si>
  <si>
    <t>TOT 1 Y 2</t>
  </si>
  <si>
    <t>RECTOR INSTITUTO SUPERIOR</t>
  </si>
  <si>
    <t>SECRETARIO INSTITUTO SUPERIOR</t>
  </si>
  <si>
    <t>superv</t>
  </si>
  <si>
    <t>direct 1</t>
  </si>
  <si>
    <t>direct 2</t>
  </si>
  <si>
    <t>direct 3</t>
  </si>
  <si>
    <t>direct 4</t>
  </si>
  <si>
    <t>vicedir 1</t>
  </si>
  <si>
    <t>vicedir 2</t>
  </si>
  <si>
    <t>sec 1</t>
  </si>
  <si>
    <t>sec 2</t>
  </si>
  <si>
    <t>sec 3</t>
  </si>
  <si>
    <t xml:space="preserve"> JEFE DE UNS Y PRODUCCIÓN 1ERA CAT.</t>
  </si>
  <si>
    <t xml:space="preserve"> JEFE DE UNS Y PRODUCCIÓN 2DA CAT.</t>
  </si>
  <si>
    <t xml:space="preserve"> JEFE DE UNS Y PRODUCCIÓN 3ERA CAT. </t>
  </si>
  <si>
    <t>SUPERVISOR EDUCACIÓN ARTÍSTICA</t>
  </si>
  <si>
    <t>SUPERVISOR ESCOLAR DE ZONA</t>
  </si>
  <si>
    <t xml:space="preserve"> SUPERVISOR ESCOLAR EDUC. TECNOLÓGICA</t>
  </si>
  <si>
    <t xml:space="preserve"> DIRECTOR DEL S.A.I.E.</t>
  </si>
  <si>
    <t xml:space="preserve"> DIRECTOR ESCUELA ESPECIAL JORNADA COMPLETA</t>
  </si>
  <si>
    <t xml:space="preserve"> VICEDIRECTOR ESCUELA ESPECIAL JORNADA COMPLETA</t>
  </si>
  <si>
    <t>DIRECTOR NIVEL INICIAL 1ERA CON PROLONGACIÓN</t>
  </si>
  <si>
    <t>DIRECTOR NIVEL INICIAL 2DA CON PROLONGACIÓN</t>
  </si>
  <si>
    <t>VICEDIRECTOR NIVEL INICIAL 1ERA CON PROLONGACIÓN</t>
  </si>
  <si>
    <t>Director Dpto. Aplicación 2DA Cat.</t>
  </si>
  <si>
    <t>JEFE DE DEPARTAMENTO TÉCNICO Y SUPERVISIÓN</t>
  </si>
  <si>
    <t>SUPERVISOR DE ENSEÑANZA ESPECIAL</t>
  </si>
  <si>
    <t>SUPERVISOR DE ENSEÑANZA PRIMARIA</t>
  </si>
  <si>
    <t>SUPERVISOR DE ENSEÑANZA INICIAL</t>
  </si>
  <si>
    <t>SUPERVISOR DE ENSEÑANZA NIVEL SUPERIOR</t>
  </si>
  <si>
    <t>SUPERVISOR DE ENSEÑANZA SECUNDARIA</t>
  </si>
  <si>
    <t>SECRETARIO ACADÉMICO</t>
  </si>
  <si>
    <t>SECRETARIA DE ESC DE 2DA CATEGORÍA JORN COMP</t>
  </si>
  <si>
    <t xml:space="preserve"> VICEDIRECTOR ESC. CAP TECNICA 1ERA CATEGORIA</t>
  </si>
  <si>
    <t xml:space="preserve"> DIRECTOR ESC NIVIEL INICIAL 1RA CATEGORÍA</t>
  </si>
  <si>
    <t>VICEDIRECTOR ESC N INICIAL 2DA CATEG</t>
  </si>
  <si>
    <t>SECRETARIO ESC NIV INICIAL 1RA CATEG</t>
  </si>
  <si>
    <t>SECRETARIO ESC NIV INICIAL 2DA CATEG</t>
  </si>
  <si>
    <t>SECRETARIO ESC NIV INICIAL 3RA CATEG</t>
  </si>
  <si>
    <t xml:space="preserve"> VICERECTOR ESC DE 3RA CATEGORÍA</t>
  </si>
  <si>
    <t>SECRETARIO ESC DE 3RA CATEGORÍA</t>
  </si>
  <si>
    <t>puntos comp bas 2015</t>
  </si>
  <si>
    <t>Sueldo básico docente</t>
  </si>
  <si>
    <t>antiggüedad</t>
  </si>
  <si>
    <t>Dto. 770/12 art 5</t>
  </si>
  <si>
    <t>traslado cod 188</t>
  </si>
  <si>
    <t>dto 626/10 art 5</t>
  </si>
  <si>
    <t>hs cátedra</t>
  </si>
  <si>
    <t>antigüedad</t>
  </si>
  <si>
    <t>redondeo en mas</t>
  </si>
  <si>
    <t>salario familiar</t>
  </si>
  <si>
    <t>ayuda esc x unica vez</t>
  </si>
  <si>
    <t>federación jubilados</t>
  </si>
  <si>
    <t>serv sepelio iaps</t>
  </si>
  <si>
    <t>aporte osplad</t>
  </si>
  <si>
    <t>cuota agmer</t>
  </si>
  <si>
    <t>prestamo nvo bersa</t>
  </si>
  <si>
    <t>dto casa iapv</t>
  </si>
  <si>
    <t>E13*0,0025</t>
  </si>
  <si>
    <t>E13*0,007</t>
  </si>
  <si>
    <t>E13*0,03</t>
  </si>
  <si>
    <t>E13*0,01</t>
  </si>
  <si>
    <t>Adic hs media (Cod 18 en activos)</t>
  </si>
  <si>
    <t>adic dir 2016</t>
  </si>
  <si>
    <t>Comp Direct 2016</t>
  </si>
  <si>
    <t>puntos comp bas 2016</t>
  </si>
  <si>
    <t>comp básico 2015</t>
  </si>
  <si>
    <t>Directivo Nina??</t>
  </si>
  <si>
    <t>Adic Esc Nina</t>
  </si>
  <si>
    <t>Adicional Nina</t>
  </si>
  <si>
    <t>CARGOS</t>
  </si>
  <si>
    <t>MEDIO AGUINALDO</t>
  </si>
  <si>
    <t>Código 550</t>
  </si>
  <si>
    <t>Total Descuentos</t>
  </si>
  <si>
    <t>1: Si; 0: No</t>
  </si>
  <si>
    <t xml:space="preserve">Simulador  salarial </t>
  </si>
  <si>
    <t>DTO. N1462/18 DOCENT</t>
  </si>
  <si>
    <t xml:space="preserve"> MAESTRO ESPECIAL DEPARTAMENTO APLICACIÓN</t>
  </si>
  <si>
    <t xml:space="preserve">Líquido </t>
  </si>
  <si>
    <t>Jubilado</t>
  </si>
  <si>
    <t>Aum porcentual</t>
  </si>
  <si>
    <t>424/428</t>
  </si>
  <si>
    <t>Adic Dec 173/21 (cod 38 activos)</t>
  </si>
  <si>
    <t>Jubilado solo horas? Lee comentario</t>
  </si>
  <si>
    <t>100%: Si ; 0%: No</t>
  </si>
  <si>
    <t>Aumento mensual</t>
  </si>
  <si>
    <t>Aumento acumulado anual</t>
  </si>
  <si>
    <t>huttvictor@gmail.com</t>
  </si>
  <si>
    <r>
      <t>Si encuentran errores, por favor avisenme.</t>
    </r>
    <r>
      <rPr>
        <sz val="11"/>
        <color indexed="17"/>
        <rFont val="Arial"/>
        <family val="2"/>
      </rPr>
      <t xml:space="preserve"> huttvictor@gmail.com</t>
    </r>
  </si>
  <si>
    <t>Simulaciones oferta sin confirmación por decreto</t>
  </si>
  <si>
    <r>
      <t xml:space="preserve">Se deben completar los datos en </t>
    </r>
    <r>
      <rPr>
        <b/>
        <sz val="11"/>
        <color indexed="10"/>
        <rFont val="Arial"/>
        <family val="2"/>
      </rPr>
      <t xml:space="preserve">rojo, </t>
    </r>
    <r>
      <rPr>
        <sz val="11"/>
        <rFont val="Arial"/>
        <family val="2"/>
      </rPr>
      <t>lo demás se calcula todo solo.</t>
    </r>
  </si>
  <si>
    <t xml:space="preserve">que aparece en la parte inferior de la pantalla y buscar su </t>
  </si>
  <si>
    <t>Acumulado porcentual</t>
  </si>
  <si>
    <t>Director Esc Nocturna de J. y Ad. En contexto de Priv de libertad</t>
  </si>
  <si>
    <t>518,0</t>
  </si>
  <si>
    <t>adic dir 2022</t>
  </si>
  <si>
    <t>Comp direct 2022</t>
  </si>
  <si>
    <t>Podría tener errores</t>
  </si>
  <si>
    <t>Jubilado/a</t>
  </si>
  <si>
    <t>cod06ene23</t>
  </si>
  <si>
    <t>Los porcentajes de aumento indicados en cada mes son acumulados anuales</t>
  </si>
  <si>
    <t>Aumento10</t>
  </si>
  <si>
    <t>Aumento11</t>
  </si>
  <si>
    <t>indicedic23</t>
  </si>
  <si>
    <t>indiceproljordic23</t>
  </si>
  <si>
    <t>indiceene24</t>
  </si>
  <si>
    <t>Indiceproljorene24</t>
  </si>
  <si>
    <t>Líquido + bono</t>
  </si>
  <si>
    <t>Bono</t>
  </si>
  <si>
    <t>Haberes + bono</t>
  </si>
  <si>
    <t>Haberes + Bono</t>
  </si>
  <si>
    <t>Aumento + Bono</t>
  </si>
  <si>
    <t>Porc aumento + bono</t>
  </si>
  <si>
    <t>Líquido + Bono</t>
  </si>
  <si>
    <t xml:space="preserve">Bono </t>
  </si>
  <si>
    <t>Habres + Bono</t>
  </si>
  <si>
    <r>
      <t xml:space="preserve">Salario docente jubilado Entre Ríos </t>
    </r>
    <r>
      <rPr>
        <b/>
        <u val="single"/>
        <sz val="18"/>
        <color indexed="18"/>
        <rFont val="Arial"/>
        <family val="2"/>
      </rPr>
      <t xml:space="preserve"> (2024)</t>
    </r>
  </si>
  <si>
    <t>e 24 + Bono</t>
  </si>
  <si>
    <t>indicefeb24</t>
  </si>
  <si>
    <t>Indiceproljorfeb24</t>
  </si>
  <si>
    <t>Líq + Bono</t>
  </si>
  <si>
    <t>Aumento - Bono</t>
  </si>
  <si>
    <t>Porc aumento - bono</t>
  </si>
  <si>
    <t>Aumento liq - bono</t>
  </si>
  <si>
    <t>Porc liq - bono</t>
  </si>
  <si>
    <t>Porc Aum acumulado anual</t>
  </si>
  <si>
    <t>cod06feb24</t>
  </si>
  <si>
    <t>indicemar24</t>
  </si>
  <si>
    <t>indiceabr24</t>
  </si>
  <si>
    <t>Indiceproljormar24</t>
  </si>
  <si>
    <t>Indiceproljorabr24</t>
  </si>
  <si>
    <t>De acuerdo a oferta del 17 de abril de 2024</t>
  </si>
  <si>
    <t>Desde dic 2023 a abril 2024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</si>
</sst>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%"/>
    <numFmt numFmtId="173" formatCode="#,##0.00\ _€"/>
    <numFmt numFmtId="174" formatCode="0.0"/>
    <numFmt numFmtId="175" formatCode="0.0000"/>
    <numFmt numFmtId="176" formatCode="0.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_ &quot;$&quot;\ * #,##0.0_ ;_ &quot;$&quot;\ * \-#,##0.0_ ;_ &quot;$&quot;\ * &quot;-&quot;??_ ;_ @_ "/>
    <numFmt numFmtId="184" formatCode="_ &quot;$&quot;\ * #,##0_ ;_ &quot;$&quot;\ * \-#,##0_ ;_ &quot;$&quot;\ * &quot;-&quot;??_ ;_ @_ "/>
    <numFmt numFmtId="185" formatCode="_ &quot;$&quot;\ * #,##0.000_ ;_ &quot;$&quot;\ * \-#,##0.000_ ;_ &quot;$&quot;\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0%"/>
    <numFmt numFmtId="191" formatCode="0.0000%"/>
    <numFmt numFmtId="192" formatCode="0.00000%"/>
    <numFmt numFmtId="193" formatCode="0.000000%"/>
    <numFmt numFmtId="194" formatCode="#,##0.0000"/>
    <numFmt numFmtId="195" formatCode="#,##0_ ;\-#,##0\ "/>
    <numFmt numFmtId="196" formatCode="_ &quot;$&quot;\ * #,##0.0000_ ;_ &quot;$&quot;\ * \-#,##0.0000_ ;_ &quot;$&quot;\ * &quot;-&quot;??_ ;_ @_ "/>
    <numFmt numFmtId="197" formatCode="_ &quot;$&quot;\ * #,##0.00000_ ;_ &quot;$&quot;\ * \-#,##0.00000_ ;_ &quot;$&quot;\ * &quot;-&quot;??_ ;_ @_ "/>
    <numFmt numFmtId="198" formatCode="_ &quot;$&quot;\ * #,##0.000000_ ;_ &quot;$&quot;\ * \-#,##0.000000_ ;_ &quot;$&quot;\ * &quot;-&quot;??_ ;_ @_ "/>
    <numFmt numFmtId="199" formatCode="_ &quot;$&quot;\ * #,##0.0000000_ ;_ &quot;$&quot;\ * \-#,##0.0000000_ ;_ &quot;$&quot;\ * &quot;-&quot;??_ ;_ @_ "/>
    <numFmt numFmtId="200" formatCode="_ &quot;$&quot;\ * #,##0.00000000_ ;_ &quot;$&quot;\ * \-#,##0.00000000_ ;_ &quot;$&quot;\ * &quot;-&quot;??_ ;_ @_ "/>
    <numFmt numFmtId="201" formatCode="_ &quot;$&quot;\ * #,##0.000000000_ ;_ &quot;$&quot;\ * \-#,##0.000000000_ ;_ &quot;$&quot;\ * &quot;-&quot;??_ ;_ @_ "/>
    <numFmt numFmtId="202" formatCode="#,##0.0"/>
    <numFmt numFmtId="203" formatCode="0.00000000000"/>
    <numFmt numFmtId="204" formatCode="0.000000000000"/>
    <numFmt numFmtId="205" formatCode="0.0000000000000"/>
    <numFmt numFmtId="206" formatCode="0.00000000000000"/>
    <numFmt numFmtId="207" formatCode="0.000000000000000"/>
    <numFmt numFmtId="208" formatCode="0.0000000000000000"/>
    <numFmt numFmtId="209" formatCode="[$-2C0A]dddd\,\ d\ &quot;de&quot;\ mmmm\ &quot;de&quot;\ yyyy"/>
    <numFmt numFmtId="210" formatCode="_-&quot;$&quot;\ * #,##0.000_-;\-&quot;$&quot;\ * #,##0.000_-;_-&quot;$&quot;\ * &quot;-&quot;??_-;_-@_-"/>
    <numFmt numFmtId="211" formatCode="#,##0.00_ ;\-#,##0.00\ "/>
  </numFmts>
  <fonts count="174">
    <font>
      <sz val="10"/>
      <name val="Arial"/>
      <family val="0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7"/>
      <name val="Arial"/>
      <family val="2"/>
    </font>
    <font>
      <sz val="10"/>
      <color indexed="8"/>
      <name val="Arial"/>
      <family val="2"/>
    </font>
    <font>
      <b/>
      <u val="single"/>
      <sz val="16"/>
      <color indexed="1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53"/>
      <name val="Arial"/>
      <family val="2"/>
    </font>
    <font>
      <b/>
      <u val="single"/>
      <sz val="14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trike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58"/>
      <name val="Arial"/>
      <family val="2"/>
    </font>
    <font>
      <u val="single"/>
      <sz val="12"/>
      <color indexed="18"/>
      <name val="Arial"/>
      <family val="2"/>
    </font>
    <font>
      <sz val="12"/>
      <color indexed="18"/>
      <name val="Arial"/>
      <family val="2"/>
    </font>
    <font>
      <u val="single"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1"/>
      <color indexed="12"/>
      <name val="Arial"/>
      <family val="2"/>
    </font>
    <font>
      <b/>
      <sz val="14"/>
      <color indexed="10"/>
      <name val="Arial"/>
      <family val="2"/>
    </font>
    <font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u val="single"/>
      <sz val="16"/>
      <color indexed="12"/>
      <name val="Arial"/>
      <family val="2"/>
    </font>
    <font>
      <b/>
      <u val="single"/>
      <sz val="16"/>
      <color indexed="17"/>
      <name val="Arial"/>
      <family val="2"/>
    </font>
    <font>
      <b/>
      <u val="single"/>
      <sz val="16"/>
      <color indexed="16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26"/>
      <color indexed="12"/>
      <name val="Arial"/>
      <family val="2"/>
    </font>
    <font>
      <sz val="12"/>
      <color indexed="9"/>
      <name val="Arial"/>
      <family val="2"/>
    </font>
    <font>
      <u val="single"/>
      <sz val="12"/>
      <color indexed="9"/>
      <name val="Arial"/>
      <family val="2"/>
    </font>
    <font>
      <b/>
      <sz val="12"/>
      <color indexed="18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indexed="15"/>
      <name val="Arial"/>
      <family val="2"/>
    </font>
    <font>
      <b/>
      <sz val="12"/>
      <color indexed="15"/>
      <name val="Arial"/>
      <family val="2"/>
    </font>
    <font>
      <b/>
      <sz val="10"/>
      <color indexed="53"/>
      <name val="Arial"/>
      <family val="2"/>
    </font>
    <font>
      <b/>
      <sz val="16"/>
      <color indexed="13"/>
      <name val="Arial"/>
      <family val="2"/>
    </font>
    <font>
      <sz val="12"/>
      <color indexed="8"/>
      <name val="Arial"/>
      <family val="2"/>
    </font>
    <font>
      <sz val="10"/>
      <name val="Tahoma"/>
      <family val="2"/>
    </font>
    <font>
      <sz val="12"/>
      <color indexed="52"/>
      <name val="Arial"/>
      <family val="2"/>
    </font>
    <font>
      <b/>
      <sz val="10"/>
      <name val="Tahoma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4"/>
      <color indexed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8"/>
      <name val="Arial"/>
      <family val="2"/>
    </font>
    <font>
      <b/>
      <u val="single"/>
      <sz val="20"/>
      <color indexed="12"/>
      <name val="Arial"/>
      <family val="2"/>
    </font>
    <font>
      <b/>
      <u val="single"/>
      <sz val="18"/>
      <color indexed="1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u val="single"/>
      <sz val="16"/>
      <color indexed="8"/>
      <name val="Arial"/>
      <family val="2"/>
    </font>
    <font>
      <b/>
      <u val="single"/>
      <sz val="16"/>
      <name val="Arial"/>
      <family val="2"/>
    </font>
    <font>
      <b/>
      <sz val="18"/>
      <name val="Arial"/>
      <family val="2"/>
    </font>
    <font>
      <b/>
      <sz val="22"/>
      <color indexed="56"/>
      <name val="Arial"/>
      <family val="2"/>
    </font>
    <font>
      <b/>
      <u val="single"/>
      <sz val="12"/>
      <name val="Arial"/>
      <family val="2"/>
    </font>
    <font>
      <b/>
      <sz val="2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sz val="10"/>
      <color indexed="8"/>
      <name val="Calibri"/>
      <family val="2"/>
    </font>
    <font>
      <sz val="24"/>
      <color indexed="10"/>
      <name val="Arial"/>
      <family val="2"/>
    </font>
    <font>
      <sz val="11"/>
      <color indexed="8"/>
      <name val="Arial"/>
      <family val="2"/>
    </font>
    <font>
      <b/>
      <sz val="16"/>
      <color indexed="53"/>
      <name val="Arial"/>
      <family val="2"/>
    </font>
    <font>
      <sz val="11"/>
      <color indexed="10"/>
      <name val="Arial"/>
      <family val="2"/>
    </font>
    <font>
      <sz val="10"/>
      <color indexed="55"/>
      <name val="Arial"/>
      <family val="2"/>
    </font>
    <font>
      <sz val="12"/>
      <color indexed="10"/>
      <name val="Arial"/>
      <family val="2"/>
    </font>
    <font>
      <b/>
      <sz val="18"/>
      <color indexed="12"/>
      <name val="Arial"/>
      <family val="2"/>
    </font>
    <font>
      <sz val="10"/>
      <color indexed="18"/>
      <name val="Arial"/>
      <family val="2"/>
    </font>
    <font>
      <sz val="9"/>
      <color indexed="8"/>
      <name val="Arial"/>
      <family val="2"/>
    </font>
    <font>
      <sz val="24"/>
      <color indexed="8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b/>
      <sz val="16"/>
      <color indexed="56"/>
      <name val="Arial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color theme="1"/>
      <name val="Calibri"/>
      <family val="2"/>
    </font>
    <font>
      <sz val="24"/>
      <color rgb="FFFF0000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9" tint="-0.24997000396251678"/>
      <name val="Arial"/>
      <family val="2"/>
    </font>
    <font>
      <sz val="11"/>
      <color rgb="FFFF0000"/>
      <name val="Arial"/>
      <family val="2"/>
    </font>
    <font>
      <b/>
      <sz val="16"/>
      <color theme="1"/>
      <name val="Arial"/>
      <family val="2"/>
    </font>
    <font>
      <b/>
      <u val="single"/>
      <sz val="14"/>
      <color rgb="FF0000CC"/>
      <name val="Arial"/>
      <family val="2"/>
    </font>
    <font>
      <sz val="10"/>
      <color theme="0" tint="-0.3499799966812134"/>
      <name val="Arial"/>
      <family val="2"/>
    </font>
    <font>
      <b/>
      <sz val="14"/>
      <color theme="1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8"/>
      <color rgb="FF0000CC"/>
      <name val="Arial"/>
      <family val="2"/>
    </font>
    <font>
      <sz val="10"/>
      <color theme="4" tint="-0.4999699890613556"/>
      <name val="Arial"/>
      <family val="2"/>
    </font>
    <font>
      <sz val="9"/>
      <color theme="1"/>
      <name val="Arial"/>
      <family val="2"/>
    </font>
    <font>
      <sz val="24"/>
      <color theme="1"/>
      <name val="Arial"/>
      <family val="2"/>
    </font>
    <font>
      <b/>
      <u val="single"/>
      <sz val="18"/>
      <color theme="4" tint="-0.4999699890613556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0"/>
      <color rgb="FF000000"/>
      <name val="Calibri"/>
      <family val="2"/>
    </font>
    <font>
      <sz val="18"/>
      <color rgb="FFFF0000"/>
      <name val="Arial"/>
      <family val="2"/>
    </font>
    <font>
      <sz val="18"/>
      <color theme="1"/>
      <name val="Arial"/>
      <family val="2"/>
    </font>
    <font>
      <b/>
      <sz val="16"/>
      <color theme="3" tint="-0.4999699890613556"/>
      <name val="Arial"/>
      <family val="2"/>
    </font>
    <font>
      <b/>
      <sz val="18"/>
      <color rgb="FFFFFFFF"/>
      <name val="Arial"/>
      <family val="2"/>
    </font>
    <font>
      <b/>
      <sz val="14"/>
      <color theme="0"/>
      <name val="Arial"/>
      <family val="2"/>
    </font>
    <font>
      <b/>
      <sz val="8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6B8B7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52"/>
      </left>
      <right style="thick">
        <color indexed="51"/>
      </right>
      <top style="thick">
        <color indexed="52"/>
      </top>
      <bottom style="thick">
        <color indexed="52"/>
      </bottom>
    </border>
    <border>
      <left/>
      <right/>
      <top style="thick">
        <color indexed="17"/>
      </top>
      <bottom style="thick">
        <color indexed="17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 style="thick">
        <color indexed="51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17"/>
      </left>
      <right/>
      <top style="thick">
        <color indexed="17"/>
      </top>
      <bottom style="thick">
        <color indexed="17"/>
      </bottom>
    </border>
    <border>
      <left style="thin"/>
      <right/>
      <top style="thick">
        <color indexed="17"/>
      </top>
      <bottom style="thick">
        <color indexed="17"/>
      </bottom>
    </border>
    <border>
      <left/>
      <right/>
      <top/>
      <bottom style="thick">
        <color indexed="1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/>
      <right/>
      <top style="thick">
        <color indexed="39"/>
      </top>
      <bottom/>
    </border>
    <border>
      <left style="thick">
        <color indexed="39"/>
      </left>
      <right/>
      <top/>
      <bottom/>
    </border>
    <border>
      <left/>
      <right/>
      <top/>
      <bottom style="thick">
        <color indexed="39"/>
      </bottom>
    </border>
    <border>
      <left/>
      <right style="thick">
        <color indexed="39"/>
      </right>
      <top style="thick">
        <color indexed="39"/>
      </top>
      <bottom/>
    </border>
    <border>
      <left/>
      <right style="thick">
        <color indexed="39"/>
      </right>
      <top/>
      <bottom/>
    </border>
    <border>
      <left/>
      <right style="thick">
        <color indexed="39"/>
      </right>
      <top/>
      <bottom style="thick">
        <color indexed="39"/>
      </bottom>
    </border>
    <border>
      <left style="thick">
        <color indexed="39"/>
      </left>
      <right/>
      <top/>
      <bottom style="thick">
        <color indexed="39"/>
      </bottom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ck">
        <color indexed="39"/>
      </left>
      <right/>
      <top style="thick">
        <color indexed="39"/>
      </top>
      <bottom/>
    </border>
    <border>
      <left style="thick">
        <color indexed="12"/>
      </left>
      <right/>
      <top style="thick">
        <color indexed="12"/>
      </top>
      <bottom/>
    </border>
    <border>
      <left style="thick">
        <color indexed="12"/>
      </left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>
        <color indexed="12"/>
      </left>
      <right/>
      <top style="medium">
        <color indexed="12"/>
      </top>
      <bottom/>
    </border>
    <border>
      <left style="thick">
        <color indexed="51"/>
      </left>
      <right/>
      <top style="thick">
        <color indexed="52"/>
      </top>
      <bottom style="thick">
        <color indexed="52"/>
      </bottom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medium"/>
      <top style="thin"/>
      <bottom style="thin"/>
    </border>
    <border>
      <left>
        <color indexed="63"/>
      </left>
      <right style="medium"/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>
        <color theme="8" tint="-0.24993999302387238"/>
      </right>
      <top>
        <color indexed="63"/>
      </top>
      <bottom>
        <color indexed="63"/>
      </bottom>
    </border>
    <border>
      <left style="thin"/>
      <right style="medium">
        <color theme="8" tint="-0.24993999302387238"/>
      </right>
      <top style="thin"/>
      <bottom style="thin"/>
    </border>
    <border>
      <left style="thin"/>
      <right style="medium">
        <color theme="8" tint="-0.24993999302387238"/>
      </right>
      <top style="thin"/>
      <bottom/>
    </border>
    <border>
      <left/>
      <right style="medium">
        <color theme="8" tint="-0.24993999302387238"/>
      </right>
      <top style="thick">
        <color indexed="17"/>
      </top>
      <bottom style="thick">
        <color indexed="17"/>
      </bottom>
    </border>
    <border>
      <left style="medium">
        <color indexed="10"/>
      </left>
      <right style="medium">
        <color theme="8" tint="-0.24993999302387238"/>
      </right>
      <top style="medium">
        <color indexed="10"/>
      </top>
      <bottom style="medium">
        <color indexed="10"/>
      </bottom>
    </border>
    <border>
      <left/>
      <right style="medium">
        <color theme="8" tint="-0.24993999302387238"/>
      </right>
      <top/>
      <bottom style="medium"/>
    </border>
    <border>
      <left style="thin"/>
      <right style="medium">
        <color theme="8" tint="-0.24993999302387238"/>
      </right>
      <top style="medium"/>
      <bottom style="thin"/>
    </border>
    <border>
      <left style="thin"/>
      <right style="medium">
        <color theme="8" tint="-0.24993999302387238"/>
      </right>
      <top/>
      <bottom style="thin"/>
    </border>
    <border>
      <left style="medium"/>
      <right style="medium">
        <color theme="8" tint="-0.24993999302387238"/>
      </right>
      <top style="medium"/>
      <bottom style="medium"/>
    </border>
    <border>
      <left style="thick">
        <color rgb="FF00B050"/>
      </left>
      <right style="medium">
        <color theme="8" tint="-0.24993999302387238"/>
      </right>
      <top style="thick">
        <color rgb="FF00B050"/>
      </top>
      <bottom/>
    </border>
    <border>
      <left style="thick">
        <color rgb="FF00B050"/>
      </left>
      <right style="medium">
        <color theme="8" tint="-0.24993999302387238"/>
      </right>
      <top/>
      <bottom style="thick">
        <color rgb="FF00B050"/>
      </bottom>
    </border>
    <border>
      <left style="thick">
        <color theme="9" tint="-0.24993999302387238"/>
      </left>
      <right style="medium">
        <color theme="8" tint="-0.24993999302387238"/>
      </right>
      <top style="thick">
        <color theme="9" tint="-0.24993999302387238"/>
      </top>
      <bottom>
        <color indexed="63"/>
      </bottom>
    </border>
    <border>
      <left style="thick">
        <color theme="9" tint="-0.24993999302387238"/>
      </left>
      <right style="medium">
        <color theme="8" tint="-0.24993999302387238"/>
      </right>
      <top>
        <color indexed="63"/>
      </top>
      <bottom>
        <color indexed="63"/>
      </bottom>
    </border>
    <border>
      <left style="thick">
        <color theme="9" tint="-0.24993999302387238"/>
      </left>
      <right style="medium">
        <color theme="8" tint="-0.24993999302387238"/>
      </right>
      <top/>
      <bottom style="thin"/>
    </border>
    <border>
      <left style="thick">
        <color theme="9" tint="-0.24993999302387238"/>
      </left>
      <right style="medium">
        <color theme="8" tint="-0.24993999302387238"/>
      </right>
      <top style="thin"/>
      <bottom style="thin"/>
    </border>
    <border>
      <left style="thick">
        <color theme="9" tint="-0.24993999302387238"/>
      </left>
      <right style="medium">
        <color theme="8" tint="-0.24993999302387238"/>
      </right>
      <top style="medium"/>
      <bottom style="medium"/>
    </border>
    <border>
      <left style="thick">
        <color theme="9" tint="-0.24993999302387238"/>
      </left>
      <right style="medium">
        <color theme="8" tint="-0.24993999302387238"/>
      </right>
      <top style="medium"/>
      <bottom style="thick">
        <color theme="9" tint="-0.24993999302387238"/>
      </bottom>
    </border>
    <border>
      <left style="medium">
        <color indexed="10"/>
      </left>
      <right style="medium">
        <color theme="8" tint="-0.24993999302387238"/>
      </right>
      <top style="medium">
        <color indexed="10"/>
      </top>
      <bottom/>
    </border>
    <border>
      <left/>
      <right style="medium">
        <color theme="8" tint="-0.24993999302387238"/>
      </right>
      <top style="thick">
        <color indexed="12"/>
      </top>
      <bottom/>
    </border>
    <border>
      <left/>
      <right style="medium">
        <color theme="8" tint="-0.24993999302387238"/>
      </right>
      <top/>
      <bottom style="thick">
        <color indexed="39"/>
      </bottom>
    </border>
    <border>
      <left style="double">
        <color rgb="FF00B050"/>
      </left>
      <right style="thin">
        <color rgb="FF00B050"/>
      </right>
      <top style="double">
        <color rgb="FF00B050"/>
      </top>
      <bottom style="double">
        <color rgb="FF00B050"/>
      </bottom>
    </border>
    <border>
      <left style="medium"/>
      <right style="medium">
        <color theme="8" tint="-0.24993999302387238"/>
      </right>
      <top/>
      <bottom/>
    </border>
    <border>
      <left style="medium"/>
      <right style="medium">
        <color theme="8" tint="-0.24993999302387238"/>
      </right>
      <top/>
      <bottom style="medium"/>
    </border>
    <border>
      <left>
        <color indexed="63"/>
      </left>
      <right>
        <color indexed="63"/>
      </right>
      <top style="thick">
        <color theme="9" tint="-0.2499399930238723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>
        <color rgb="FF00B050"/>
      </right>
      <top style="thick">
        <color rgb="FF00B050"/>
      </top>
      <bottom/>
    </border>
    <border>
      <left style="thin"/>
      <right style="thick">
        <color rgb="FF00B050"/>
      </right>
      <top/>
      <bottom style="thick">
        <color rgb="FF00B050"/>
      </bottom>
    </border>
    <border>
      <left style="thin"/>
      <right style="thick">
        <color theme="9" tint="-0.24993999302387238"/>
      </right>
      <top style="thick">
        <color theme="9" tint="-0.24993999302387238"/>
      </top>
      <bottom>
        <color indexed="63"/>
      </bottom>
    </border>
    <border>
      <left style="thin"/>
      <right style="thick">
        <color theme="9" tint="-0.24993999302387238"/>
      </right>
      <top>
        <color indexed="63"/>
      </top>
      <bottom>
        <color indexed="63"/>
      </bottom>
    </border>
    <border>
      <left style="thin"/>
      <right style="thick">
        <color theme="9" tint="-0.24993999302387238"/>
      </right>
      <top/>
      <bottom style="thin"/>
    </border>
    <border>
      <left style="thin"/>
      <right style="thick">
        <color theme="9" tint="-0.24993999302387238"/>
      </right>
      <top style="medium"/>
      <bottom style="medium"/>
    </border>
    <border>
      <left style="thin"/>
      <right style="thick">
        <color theme="9" tint="-0.24993999302387238"/>
      </right>
      <top style="medium"/>
      <bottom style="thick">
        <color theme="9" tint="-0.2499399930238723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ck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thick">
        <color rgb="FF00B050"/>
      </top>
      <bottom/>
    </border>
    <border>
      <left>
        <color indexed="63"/>
      </left>
      <right>
        <color indexed="63"/>
      </right>
      <top/>
      <bottom style="thick">
        <color rgb="FF00B050"/>
      </bottom>
    </border>
    <border>
      <left>
        <color indexed="63"/>
      </left>
      <right>
        <color indexed="63"/>
      </right>
      <top style="medium"/>
      <bottom style="thick">
        <color theme="9" tint="-0.24993999302387238"/>
      </bottom>
    </border>
    <border>
      <left style="thin"/>
      <right>
        <color indexed="63"/>
      </right>
      <top style="medium"/>
      <bottom style="thin"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</border>
    <border>
      <left>
        <color indexed="63"/>
      </left>
      <right style="medium">
        <color theme="8" tint="-0.24993999302387238"/>
      </right>
      <top style="thin"/>
      <bottom/>
    </border>
    <border>
      <left/>
      <right style="medium">
        <color theme="8" tint="-0.2499399930238723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theme="8" tint="-0.2499399930238723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double">
        <color rgb="FF00B050"/>
      </top>
      <bottom style="double">
        <color rgb="FF00B050"/>
      </bottom>
    </border>
    <border>
      <left style="thin"/>
      <right style="thin"/>
      <top style="medium"/>
      <bottom style="thin"/>
    </border>
    <border>
      <left style="thick">
        <color rgb="FFFFFF00"/>
      </left>
      <right>
        <color indexed="63"/>
      </right>
      <top style="thick">
        <color rgb="FFFFFF00"/>
      </top>
      <bottom>
        <color indexed="63"/>
      </bottom>
    </border>
    <border>
      <left>
        <color indexed="63"/>
      </left>
      <right>
        <color indexed="63"/>
      </right>
      <top style="thick">
        <color rgb="FFFFFF00"/>
      </top>
      <bottom>
        <color indexed="63"/>
      </bottom>
    </border>
    <border>
      <left>
        <color indexed="63"/>
      </left>
      <right style="thick">
        <color rgb="FFFFFF00"/>
      </right>
      <top style="thick">
        <color rgb="FFFFFF00"/>
      </top>
      <bottom>
        <color indexed="63"/>
      </bottom>
    </border>
    <border>
      <left style="thick">
        <color rgb="FFFFFF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FF00"/>
      </right>
      <top>
        <color indexed="63"/>
      </top>
      <bottom>
        <color indexed="63"/>
      </bottom>
    </border>
    <border>
      <left style="thick">
        <color rgb="FFFFFF00"/>
      </left>
      <right>
        <color indexed="63"/>
      </right>
      <top>
        <color indexed="63"/>
      </top>
      <bottom style="thick">
        <color rgb="FFFFFF00"/>
      </bottom>
    </border>
    <border>
      <left/>
      <right/>
      <top/>
      <bottom style="thick">
        <color rgb="FFFFFF00"/>
      </bottom>
    </border>
    <border>
      <left>
        <color indexed="63"/>
      </left>
      <right style="thick">
        <color rgb="FFFFFF00"/>
      </right>
      <top>
        <color indexed="63"/>
      </top>
      <bottom style="thick">
        <color rgb="FFFFFF00"/>
      </bottom>
    </border>
    <border>
      <left style="thin"/>
      <right style="double">
        <color rgb="FF00B050"/>
      </right>
      <top style="double">
        <color rgb="FF00B050"/>
      </top>
      <bottom style="double">
        <color rgb="FF00B050"/>
      </bottom>
    </border>
    <border>
      <left style="thin">
        <color rgb="FF00B050"/>
      </left>
      <right style="double">
        <color rgb="FF00B050"/>
      </right>
      <top>
        <color indexed="63"/>
      </top>
      <bottom style="double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 style="double">
        <color rgb="FF00B050"/>
      </left>
      <right style="thin">
        <color rgb="FF00B050"/>
      </right>
      <top>
        <color indexed="63"/>
      </top>
      <bottom style="double">
        <color rgb="FF00B050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2" borderId="0" applyNumberFormat="0" applyBorder="0" applyAlignment="0" applyProtection="0"/>
    <xf numFmtId="0" fontId="118" fillId="3" borderId="0" applyNumberFormat="0" applyBorder="0" applyAlignment="0" applyProtection="0"/>
    <xf numFmtId="0" fontId="118" fillId="4" borderId="0" applyNumberFormat="0" applyBorder="0" applyAlignment="0" applyProtection="0"/>
    <xf numFmtId="0" fontId="118" fillId="5" borderId="0" applyNumberFormat="0" applyBorder="0" applyAlignment="0" applyProtection="0"/>
    <xf numFmtId="0" fontId="118" fillId="6" borderId="0" applyNumberFormat="0" applyBorder="0" applyAlignment="0" applyProtection="0"/>
    <xf numFmtId="0" fontId="118" fillId="7" borderId="0" applyNumberFormat="0" applyBorder="0" applyAlignment="0" applyProtection="0"/>
    <xf numFmtId="0" fontId="118" fillId="8" borderId="0" applyNumberFormat="0" applyBorder="0" applyAlignment="0" applyProtection="0"/>
    <xf numFmtId="0" fontId="118" fillId="9" borderId="0" applyNumberFormat="0" applyBorder="0" applyAlignment="0" applyProtection="0"/>
    <xf numFmtId="0" fontId="118" fillId="10" borderId="0" applyNumberFormat="0" applyBorder="0" applyAlignment="0" applyProtection="0"/>
    <xf numFmtId="0" fontId="118" fillId="11" borderId="0" applyNumberFormat="0" applyBorder="0" applyAlignment="0" applyProtection="0"/>
    <xf numFmtId="0" fontId="118" fillId="12" borderId="0" applyNumberFormat="0" applyBorder="0" applyAlignment="0" applyProtection="0"/>
    <xf numFmtId="0" fontId="118" fillId="13" borderId="0" applyNumberFormat="0" applyBorder="0" applyAlignment="0" applyProtection="0"/>
    <xf numFmtId="0" fontId="119" fillId="14" borderId="0" applyNumberFormat="0" applyBorder="0" applyAlignment="0" applyProtection="0"/>
    <xf numFmtId="0" fontId="119" fillId="15" borderId="0" applyNumberFormat="0" applyBorder="0" applyAlignment="0" applyProtection="0"/>
    <xf numFmtId="0" fontId="119" fillId="16" borderId="0" applyNumberFormat="0" applyBorder="0" applyAlignment="0" applyProtection="0"/>
    <xf numFmtId="0" fontId="119" fillId="17" borderId="0" applyNumberFormat="0" applyBorder="0" applyAlignment="0" applyProtection="0"/>
    <xf numFmtId="0" fontId="119" fillId="18" borderId="0" applyNumberFormat="0" applyBorder="0" applyAlignment="0" applyProtection="0"/>
    <xf numFmtId="0" fontId="119" fillId="19" borderId="0" applyNumberFormat="0" applyBorder="0" applyAlignment="0" applyProtection="0"/>
    <xf numFmtId="0" fontId="120" fillId="20" borderId="0" applyNumberFormat="0" applyBorder="0" applyAlignment="0" applyProtection="0"/>
    <xf numFmtId="0" fontId="121" fillId="21" borderId="1" applyNumberFormat="0" applyAlignment="0" applyProtection="0"/>
    <xf numFmtId="0" fontId="122" fillId="22" borderId="2" applyNumberFormat="0" applyAlignment="0" applyProtection="0"/>
    <xf numFmtId="0" fontId="123" fillId="0" borderId="3" applyNumberFormat="0" applyFill="0" applyAlignment="0" applyProtection="0"/>
    <xf numFmtId="0" fontId="124" fillId="0" borderId="4" applyNumberFormat="0" applyFill="0" applyAlignment="0" applyProtection="0"/>
    <xf numFmtId="0" fontId="125" fillId="0" borderId="0" applyNumberFormat="0" applyFill="0" applyBorder="0" applyAlignment="0" applyProtection="0"/>
    <xf numFmtId="0" fontId="119" fillId="23" borderId="0" applyNumberFormat="0" applyBorder="0" applyAlignment="0" applyProtection="0"/>
    <xf numFmtId="0" fontId="119" fillId="24" borderId="0" applyNumberFormat="0" applyBorder="0" applyAlignment="0" applyProtection="0"/>
    <xf numFmtId="0" fontId="119" fillId="25" borderId="0" applyNumberFormat="0" applyBorder="0" applyAlignment="0" applyProtection="0"/>
    <xf numFmtId="0" fontId="119" fillId="26" borderId="0" applyNumberFormat="0" applyBorder="0" applyAlignment="0" applyProtection="0"/>
    <xf numFmtId="0" fontId="119" fillId="27" borderId="0" applyNumberFormat="0" applyBorder="0" applyAlignment="0" applyProtection="0"/>
    <xf numFmtId="0" fontId="119" fillId="28" borderId="0" applyNumberFormat="0" applyBorder="0" applyAlignment="0" applyProtection="0"/>
    <xf numFmtId="0" fontId="126" fillId="29" borderId="1" applyNumberFormat="0" applyAlignment="0" applyProtection="0"/>
    <xf numFmtId="0" fontId="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30" fillId="21" borderId="6" applyNumberFormat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7" applyNumberFormat="0" applyFill="0" applyAlignment="0" applyProtection="0"/>
    <xf numFmtId="0" fontId="125" fillId="0" borderId="8" applyNumberFormat="0" applyFill="0" applyAlignment="0" applyProtection="0"/>
    <xf numFmtId="0" fontId="135" fillId="0" borderId="9" applyNumberFormat="0" applyFill="0" applyAlignment="0" applyProtection="0"/>
  </cellStyleXfs>
  <cellXfs count="1013">
    <xf numFmtId="0" fontId="0" fillId="0" borderId="0" xfId="0" applyAlignment="1">
      <alignment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 horizontal="right"/>
      <protection/>
    </xf>
    <xf numFmtId="2" fontId="3" fillId="0" borderId="0" xfId="0" applyNumberFormat="1" applyFont="1" applyBorder="1" applyAlignment="1" applyProtection="1">
      <alignment horizontal="left"/>
      <protection/>
    </xf>
    <xf numFmtId="2" fontId="4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2" fontId="0" fillId="0" borderId="10" xfId="0" applyNumberForma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20" fillId="33" borderId="11" xfId="0" applyFont="1" applyFill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24" fillId="0" borderId="10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26" fillId="0" borderId="10" xfId="0" applyFont="1" applyBorder="1" applyAlignment="1" applyProtection="1">
      <alignment/>
      <protection hidden="1"/>
    </xf>
    <xf numFmtId="0" fontId="18" fillId="0" borderId="10" xfId="0" applyFont="1" applyBorder="1" applyAlignment="1" applyProtection="1">
      <alignment/>
      <protection hidden="1"/>
    </xf>
    <xf numFmtId="0" fontId="25" fillId="0" borderId="10" xfId="0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23" fillId="0" borderId="10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173" fontId="18" fillId="0" borderId="12" xfId="51" applyNumberFormat="1" applyFont="1" applyBorder="1" applyAlignment="1" applyProtection="1">
      <alignment horizontal="right"/>
      <protection locked="0"/>
    </xf>
    <xf numFmtId="0" fontId="0" fillId="34" borderId="0" xfId="0" applyFill="1" applyBorder="1" applyAlignment="1" applyProtection="1">
      <alignment/>
      <protection/>
    </xf>
    <xf numFmtId="0" fontId="29" fillId="33" borderId="11" xfId="0" applyFont="1" applyFill="1" applyBorder="1" applyAlignment="1" applyProtection="1">
      <alignment/>
      <protection/>
    </xf>
    <xf numFmtId="0" fontId="8" fillId="0" borderId="0" xfId="46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8" fillId="0" borderId="0" xfId="46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2" fontId="14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2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2" fontId="4" fillId="0" borderId="21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17" fillId="0" borderId="22" xfId="0" applyFont="1" applyBorder="1" applyAlignment="1" applyProtection="1">
      <alignment/>
      <protection/>
    </xf>
    <xf numFmtId="1" fontId="17" fillId="0" borderId="22" xfId="0" applyNumberFormat="1" applyFont="1" applyBorder="1" applyAlignment="1" applyProtection="1">
      <alignment/>
      <protection/>
    </xf>
    <xf numFmtId="2" fontId="0" fillId="0" borderId="10" xfId="0" applyNumberFormat="1" applyBorder="1" applyAlignment="1" applyProtection="1">
      <alignment horizontal="left"/>
      <protection/>
    </xf>
    <xf numFmtId="0" fontId="24" fillId="0" borderId="1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 horizontal="center"/>
      <protection/>
    </xf>
    <xf numFmtId="9" fontId="0" fillId="0" borderId="14" xfId="0" applyNumberFormat="1" applyBorder="1" applyAlignment="1" applyProtection="1">
      <alignment/>
      <protection/>
    </xf>
    <xf numFmtId="2" fontId="0" fillId="0" borderId="14" xfId="0" applyNumberForma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right"/>
      <protection/>
    </xf>
    <xf numFmtId="172" fontId="3" fillId="0" borderId="20" xfId="0" applyNumberFormat="1" applyFont="1" applyBorder="1" applyAlignment="1" applyProtection="1">
      <alignment/>
      <protection/>
    </xf>
    <xf numFmtId="2" fontId="27" fillId="0" borderId="17" xfId="0" applyNumberFormat="1" applyFont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22" fillId="0" borderId="2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/>
      <protection locked="0"/>
    </xf>
    <xf numFmtId="2" fontId="18" fillId="0" borderId="12" xfId="0" applyNumberFormat="1" applyFont="1" applyBorder="1" applyAlignment="1" applyProtection="1">
      <alignment horizontal="left"/>
      <protection locked="0"/>
    </xf>
    <xf numFmtId="9" fontId="16" fillId="0" borderId="24" xfId="0" applyNumberFormat="1" applyFont="1" applyBorder="1" applyAlignment="1" applyProtection="1">
      <alignment horizontal="center"/>
      <protection locked="0"/>
    </xf>
    <xf numFmtId="0" fontId="3" fillId="36" borderId="25" xfId="0" applyFont="1" applyFill="1" applyBorder="1" applyAlignment="1" applyProtection="1">
      <alignment/>
      <protection/>
    </xf>
    <xf numFmtId="0" fontId="0" fillId="37" borderId="26" xfId="0" applyFill="1" applyBorder="1" applyAlignment="1" applyProtection="1">
      <alignment/>
      <protection/>
    </xf>
    <xf numFmtId="9" fontId="20" fillId="38" borderId="27" xfId="55" applyFont="1" applyFill="1" applyBorder="1" applyAlignment="1" applyProtection="1">
      <alignment/>
      <protection/>
    </xf>
    <xf numFmtId="9" fontId="20" fillId="38" borderId="15" xfId="55" applyFont="1" applyFill="1" applyBorder="1" applyAlignment="1" applyProtection="1">
      <alignment/>
      <protection/>
    </xf>
    <xf numFmtId="9" fontId="20" fillId="39" borderId="15" xfId="55" applyFont="1" applyFill="1" applyBorder="1" applyAlignment="1" applyProtection="1">
      <alignment/>
      <protection/>
    </xf>
    <xf numFmtId="9" fontId="20" fillId="39" borderId="28" xfId="55" applyFont="1" applyFill="1" applyBorder="1" applyAlignment="1" applyProtection="1">
      <alignment/>
      <protection/>
    </xf>
    <xf numFmtId="0" fontId="3" fillId="40" borderId="29" xfId="0" applyFont="1" applyFill="1" applyBorder="1" applyAlignment="1" applyProtection="1">
      <alignment horizontal="right"/>
      <protection/>
    </xf>
    <xf numFmtId="0" fontId="3" fillId="40" borderId="30" xfId="0" applyFont="1" applyFill="1" applyBorder="1" applyAlignment="1" applyProtection="1">
      <alignment/>
      <protection/>
    </xf>
    <xf numFmtId="9" fontId="18" fillId="41" borderId="31" xfId="0" applyNumberFormat="1" applyFont="1" applyFill="1" applyBorder="1" applyAlignment="1" applyProtection="1">
      <alignment/>
      <protection locked="0"/>
    </xf>
    <xf numFmtId="0" fontId="3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" fillId="42" borderId="0" xfId="0" applyFont="1" applyFill="1" applyBorder="1" applyAlignment="1" applyProtection="1">
      <alignment/>
      <protection/>
    </xf>
    <xf numFmtId="0" fontId="0" fillId="42" borderId="0" xfId="0" applyFill="1" applyBorder="1" applyAlignment="1" applyProtection="1">
      <alignment/>
      <protection/>
    </xf>
    <xf numFmtId="0" fontId="0" fillId="43" borderId="0" xfId="0" applyFill="1" applyAlignment="1">
      <alignment/>
    </xf>
    <xf numFmtId="0" fontId="0" fillId="34" borderId="0" xfId="0" applyFill="1" applyAlignment="1">
      <alignment/>
    </xf>
    <xf numFmtId="9" fontId="20" fillId="34" borderId="0" xfId="55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41" fillId="37" borderId="32" xfId="0" applyFont="1" applyFill="1" applyBorder="1" applyAlignment="1" applyProtection="1">
      <alignment/>
      <protection/>
    </xf>
    <xf numFmtId="0" fontId="42" fillId="37" borderId="33" xfId="0" applyFont="1" applyFill="1" applyBorder="1" applyAlignment="1" applyProtection="1">
      <alignment/>
      <protection locked="0"/>
    </xf>
    <xf numFmtId="1" fontId="0" fillId="34" borderId="0" xfId="0" applyNumberFormat="1" applyFill="1" applyAlignment="1" applyProtection="1">
      <alignment/>
      <protection/>
    </xf>
    <xf numFmtId="9" fontId="0" fillId="34" borderId="0" xfId="55" applyFont="1" applyFill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2" fontId="0" fillId="0" borderId="12" xfId="0" applyNumberFormat="1" applyBorder="1" applyAlignment="1" applyProtection="1">
      <alignment horizontal="left"/>
      <protection/>
    </xf>
    <xf numFmtId="0" fontId="19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 horizontal="right"/>
      <protection/>
    </xf>
    <xf numFmtId="172" fontId="0" fillId="34" borderId="0" xfId="0" applyNumberFormat="1" applyFill="1" applyBorder="1" applyAlignment="1" applyProtection="1">
      <alignment/>
      <protection/>
    </xf>
    <xf numFmtId="2" fontId="14" fillId="34" borderId="0" xfId="0" applyNumberFormat="1" applyFont="1" applyFill="1" applyBorder="1" applyAlignment="1" applyProtection="1">
      <alignment horizontal="right"/>
      <protection/>
    </xf>
    <xf numFmtId="172" fontId="21" fillId="34" borderId="0" xfId="0" applyNumberFormat="1" applyFont="1" applyFill="1" applyBorder="1" applyAlignment="1" applyProtection="1">
      <alignment/>
      <protection/>
    </xf>
    <xf numFmtId="10" fontId="21" fillId="34" borderId="0" xfId="55" applyNumberFormat="1" applyFont="1" applyFill="1" applyBorder="1" applyAlignment="1" applyProtection="1">
      <alignment horizontal="right"/>
      <protection/>
    </xf>
    <xf numFmtId="9" fontId="20" fillId="39" borderId="0" xfId="55" applyFont="1" applyFill="1" applyBorder="1" applyAlignment="1" applyProtection="1">
      <alignment/>
      <protection/>
    </xf>
    <xf numFmtId="0" fontId="0" fillId="39" borderId="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9" fontId="16" fillId="0" borderId="24" xfId="0" applyNumberFormat="1" applyFont="1" applyFill="1" applyBorder="1" applyAlignment="1" applyProtection="1">
      <alignment horizontal="center"/>
      <protection locked="0"/>
    </xf>
    <xf numFmtId="1" fontId="0" fillId="39" borderId="0" xfId="0" applyNumberFormat="1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9" fontId="0" fillId="39" borderId="0" xfId="55" applyFont="1" applyFill="1" applyAlignment="1" applyProtection="1">
      <alignment/>
      <protection/>
    </xf>
    <xf numFmtId="9" fontId="20" fillId="35" borderId="0" xfId="55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1" fontId="0" fillId="35" borderId="0" xfId="0" applyNumberFormat="1" applyFill="1" applyAlignment="1" applyProtection="1">
      <alignment/>
      <protection/>
    </xf>
    <xf numFmtId="0" fontId="16" fillId="35" borderId="0" xfId="0" applyFont="1" applyFill="1" applyBorder="1" applyAlignment="1" applyProtection="1">
      <alignment horizontal="center"/>
      <protection/>
    </xf>
    <xf numFmtId="9" fontId="0" fillId="35" borderId="0" xfId="55" applyFont="1" applyFill="1" applyAlignment="1" applyProtection="1">
      <alignment/>
      <protection/>
    </xf>
    <xf numFmtId="9" fontId="20" fillId="44" borderId="0" xfId="55" applyFont="1" applyFill="1" applyBorder="1" applyAlignment="1" applyProtection="1">
      <alignment/>
      <protection/>
    </xf>
    <xf numFmtId="0" fontId="0" fillId="44" borderId="0" xfId="0" applyFill="1" applyBorder="1" applyAlignment="1" applyProtection="1">
      <alignment/>
      <protection/>
    </xf>
    <xf numFmtId="0" fontId="0" fillId="44" borderId="0" xfId="0" applyFill="1" applyAlignment="1" applyProtection="1">
      <alignment/>
      <protection/>
    </xf>
    <xf numFmtId="1" fontId="0" fillId="44" borderId="0" xfId="0" applyNumberFormat="1" applyFill="1" applyAlignment="1" applyProtection="1">
      <alignment/>
      <protection/>
    </xf>
    <xf numFmtId="0" fontId="16" fillId="44" borderId="0" xfId="0" applyFont="1" applyFill="1" applyBorder="1" applyAlignment="1" applyProtection="1">
      <alignment horizontal="center"/>
      <protection/>
    </xf>
    <xf numFmtId="9" fontId="0" fillId="44" borderId="0" xfId="55" applyFont="1" applyFill="1" applyAlignment="1" applyProtection="1">
      <alignment/>
      <protection/>
    </xf>
    <xf numFmtId="0" fontId="9" fillId="41" borderId="20" xfId="0" applyFont="1" applyFill="1" applyBorder="1" applyAlignment="1" applyProtection="1">
      <alignment/>
      <protection/>
    </xf>
    <xf numFmtId="0" fontId="43" fillId="41" borderId="16" xfId="0" applyFont="1" applyFill="1" applyBorder="1" applyAlignment="1">
      <alignment/>
    </xf>
    <xf numFmtId="0" fontId="44" fillId="41" borderId="16" xfId="0" applyFont="1" applyFill="1" applyBorder="1" applyAlignment="1" applyProtection="1">
      <alignment/>
      <protection/>
    </xf>
    <xf numFmtId="0" fontId="9" fillId="41" borderId="17" xfId="0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27" fillId="0" borderId="0" xfId="0" applyFont="1" applyFill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0" fontId="9" fillId="41" borderId="0" xfId="0" applyFont="1" applyFill="1" applyBorder="1" applyAlignment="1" applyProtection="1">
      <alignment/>
      <protection/>
    </xf>
    <xf numFmtId="2" fontId="27" fillId="0" borderId="0" xfId="0" applyNumberFormat="1" applyFont="1" applyBorder="1" applyAlignment="1" applyProtection="1">
      <alignment horizontal="center"/>
      <protection/>
    </xf>
    <xf numFmtId="0" fontId="22" fillId="0" borderId="34" xfId="0" applyFont="1" applyBorder="1" applyAlignment="1">
      <alignment/>
    </xf>
    <xf numFmtId="0" fontId="48" fillId="34" borderId="34" xfId="46" applyFont="1" applyFill="1" applyBorder="1" applyAlignment="1" applyProtection="1">
      <alignment/>
      <protection/>
    </xf>
    <xf numFmtId="0" fontId="48" fillId="39" borderId="34" xfId="46" applyFont="1" applyFill="1" applyBorder="1" applyAlignment="1" applyProtection="1">
      <alignment/>
      <protection/>
    </xf>
    <xf numFmtId="0" fontId="49" fillId="35" borderId="34" xfId="46" applyFont="1" applyFill="1" applyBorder="1" applyAlignment="1" applyProtection="1">
      <alignment/>
      <protection/>
    </xf>
    <xf numFmtId="0" fontId="48" fillId="44" borderId="34" xfId="46" applyFont="1" applyFill="1" applyBorder="1" applyAlignment="1" applyProtection="1">
      <alignment/>
      <protection/>
    </xf>
    <xf numFmtId="0" fontId="30" fillId="0" borderId="34" xfId="46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Alignment="1" applyProtection="1">
      <alignment/>
      <protection hidden="1"/>
    </xf>
    <xf numFmtId="0" fontId="0" fillId="0" borderId="23" xfId="0" applyNumberFormat="1" applyBorder="1" applyAlignment="1" applyProtection="1">
      <alignment/>
      <protection hidden="1"/>
    </xf>
    <xf numFmtId="9" fontId="20" fillId="38" borderId="35" xfId="55" applyFont="1" applyFill="1" applyBorder="1" applyAlignment="1" applyProtection="1">
      <alignment/>
      <protection/>
    </xf>
    <xf numFmtId="9" fontId="20" fillId="38" borderId="36" xfId="55" applyFont="1" applyFill="1" applyBorder="1" applyAlignment="1" applyProtection="1">
      <alignment/>
      <protection/>
    </xf>
    <xf numFmtId="9" fontId="20" fillId="39" borderId="36" xfId="55" applyFont="1" applyFill="1" applyBorder="1" applyAlignment="1" applyProtection="1">
      <alignment/>
      <protection/>
    </xf>
    <xf numFmtId="9" fontId="20" fillId="39" borderId="37" xfId="55" applyFont="1" applyFill="1" applyBorder="1" applyAlignment="1" applyProtection="1">
      <alignment/>
      <protection/>
    </xf>
    <xf numFmtId="2" fontId="0" fillId="0" borderId="38" xfId="0" applyNumberFormat="1" applyBorder="1" applyAlignment="1" applyProtection="1">
      <alignment horizontal="left"/>
      <protection/>
    </xf>
    <xf numFmtId="0" fontId="0" fillId="0" borderId="0" xfId="0" applyFill="1" applyAlignment="1">
      <alignment/>
    </xf>
    <xf numFmtId="9" fontId="20" fillId="0" borderId="0" xfId="55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6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2" fontId="3" fillId="0" borderId="10" xfId="0" applyNumberFormat="1" applyFont="1" applyBorder="1" applyAlignment="1" applyProtection="1">
      <alignment horizontal="right"/>
      <protection/>
    </xf>
    <xf numFmtId="2" fontId="3" fillId="0" borderId="10" xfId="0" applyNumberFormat="1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172" fontId="50" fillId="0" borderId="0" xfId="0" applyNumberFormat="1" applyFont="1" applyFill="1" applyBorder="1" applyAlignment="1" applyProtection="1">
      <alignment/>
      <protection/>
    </xf>
    <xf numFmtId="10" fontId="50" fillId="0" borderId="0" xfId="55" applyNumberFormat="1" applyFont="1" applyFill="1" applyAlignment="1">
      <alignment/>
    </xf>
    <xf numFmtId="0" fontId="23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0" fillId="39" borderId="0" xfId="0" applyFill="1" applyAlignment="1">
      <alignment/>
    </xf>
    <xf numFmtId="0" fontId="23" fillId="39" borderId="0" xfId="0" applyFont="1" applyFill="1" applyBorder="1" applyAlignment="1" applyProtection="1">
      <alignment/>
      <protection/>
    </xf>
    <xf numFmtId="0" fontId="3" fillId="39" borderId="0" xfId="0" applyFont="1" applyFill="1" applyBorder="1" applyAlignment="1" applyProtection="1">
      <alignment/>
      <protection/>
    </xf>
    <xf numFmtId="0" fontId="0" fillId="39" borderId="0" xfId="0" applyFill="1" applyBorder="1" applyAlignment="1" applyProtection="1">
      <alignment horizontal="right"/>
      <protection/>
    </xf>
    <xf numFmtId="172" fontId="0" fillId="39" borderId="0" xfId="0" applyNumberFormat="1" applyFill="1" applyBorder="1" applyAlignment="1" applyProtection="1">
      <alignment/>
      <protection/>
    </xf>
    <xf numFmtId="2" fontId="14" fillId="39" borderId="0" xfId="0" applyNumberFormat="1" applyFont="1" applyFill="1" applyBorder="1" applyAlignment="1" applyProtection="1">
      <alignment horizontal="right"/>
      <protection/>
    </xf>
    <xf numFmtId="172" fontId="21" fillId="39" borderId="0" xfId="0" applyNumberFormat="1" applyFont="1" applyFill="1" applyBorder="1" applyAlignment="1" applyProtection="1">
      <alignment/>
      <protection/>
    </xf>
    <xf numFmtId="10" fontId="21" fillId="39" borderId="0" xfId="55" applyNumberFormat="1" applyFont="1" applyFill="1" applyBorder="1" applyAlignment="1" applyProtection="1">
      <alignment horizontal="right"/>
      <protection/>
    </xf>
    <xf numFmtId="0" fontId="3" fillId="39" borderId="0" xfId="0" applyFont="1" applyFill="1" applyBorder="1" applyAlignment="1" applyProtection="1">
      <alignment horizontal="right"/>
      <protection/>
    </xf>
    <xf numFmtId="0" fontId="33" fillId="34" borderId="0" xfId="0" applyFont="1" applyFill="1" applyBorder="1" applyAlignment="1" applyProtection="1">
      <alignment/>
      <protection/>
    </xf>
    <xf numFmtId="0" fontId="33" fillId="39" borderId="0" xfId="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2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2" fontId="0" fillId="35" borderId="0" xfId="0" applyNumberForma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right"/>
      <protection/>
    </xf>
    <xf numFmtId="172" fontId="3" fillId="35" borderId="0" xfId="0" applyNumberFormat="1" applyFont="1" applyFill="1" applyBorder="1" applyAlignment="1" applyProtection="1">
      <alignment/>
      <protection/>
    </xf>
    <xf numFmtId="2" fontId="27" fillId="35" borderId="0" xfId="0" applyNumberFormat="1" applyFont="1" applyFill="1" applyBorder="1" applyAlignment="1" applyProtection="1">
      <alignment horizontal="center"/>
      <protection/>
    </xf>
    <xf numFmtId="10" fontId="27" fillId="35" borderId="0" xfId="55" applyNumberFormat="1" applyFont="1" applyFill="1" applyBorder="1" applyAlignment="1" applyProtection="1">
      <alignment horizontal="center"/>
      <protection/>
    </xf>
    <xf numFmtId="0" fontId="33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 applyProtection="1">
      <alignment horizontal="right"/>
      <protection/>
    </xf>
    <xf numFmtId="0" fontId="0" fillId="44" borderId="0" xfId="0" applyFill="1" applyBorder="1" applyAlignment="1">
      <alignment/>
    </xf>
    <xf numFmtId="0" fontId="0" fillId="44" borderId="0" xfId="0" applyFill="1" applyAlignment="1">
      <alignment/>
    </xf>
    <xf numFmtId="0" fontId="23" fillId="44" borderId="0" xfId="0" applyFont="1" applyFill="1" applyBorder="1" applyAlignment="1" applyProtection="1">
      <alignment/>
      <protection/>
    </xf>
    <xf numFmtId="0" fontId="3" fillId="44" borderId="0" xfId="0" applyFont="1" applyFill="1" applyBorder="1" applyAlignment="1" applyProtection="1">
      <alignment/>
      <protection/>
    </xf>
    <xf numFmtId="2" fontId="0" fillId="44" borderId="0" xfId="0" applyNumberFormat="1" applyFill="1" applyBorder="1" applyAlignment="1" applyProtection="1">
      <alignment/>
      <protection/>
    </xf>
    <xf numFmtId="0" fontId="0" fillId="44" borderId="0" xfId="0" applyFill="1" applyBorder="1" applyAlignment="1" applyProtection="1">
      <alignment horizontal="right"/>
      <protection/>
    </xf>
    <xf numFmtId="172" fontId="3" fillId="44" borderId="0" xfId="0" applyNumberFormat="1" applyFont="1" applyFill="1" applyBorder="1" applyAlignment="1" applyProtection="1">
      <alignment/>
      <protection/>
    </xf>
    <xf numFmtId="2" fontId="27" fillId="44" borderId="0" xfId="0" applyNumberFormat="1" applyFont="1" applyFill="1" applyBorder="1" applyAlignment="1" applyProtection="1">
      <alignment horizontal="center"/>
      <protection/>
    </xf>
    <xf numFmtId="0" fontId="33" fillId="44" borderId="0" xfId="0" applyFont="1" applyFill="1" applyBorder="1" applyAlignment="1" applyProtection="1">
      <alignment/>
      <protection/>
    </xf>
    <xf numFmtId="0" fontId="3" fillId="44" borderId="0" xfId="0" applyFont="1" applyFill="1" applyBorder="1" applyAlignment="1" applyProtection="1">
      <alignment horizontal="right"/>
      <protection/>
    </xf>
    <xf numFmtId="0" fontId="6" fillId="43" borderId="0" xfId="0" applyFont="1" applyFill="1" applyAlignment="1">
      <alignment/>
    </xf>
    <xf numFmtId="0" fontId="51" fillId="43" borderId="0" xfId="0" applyFont="1" applyFill="1" applyAlignment="1">
      <alignment/>
    </xf>
    <xf numFmtId="2" fontId="18" fillId="0" borderId="1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38" fillId="39" borderId="39" xfId="0" applyFont="1" applyFill="1" applyBorder="1" applyAlignment="1" applyProtection="1">
      <alignment/>
      <protection/>
    </xf>
    <xf numFmtId="0" fontId="38" fillId="39" borderId="40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9" fillId="39" borderId="40" xfId="46" applyFont="1" applyFill="1" applyBorder="1" applyAlignment="1" applyProtection="1">
      <alignment/>
      <protection/>
    </xf>
    <xf numFmtId="0" fontId="37" fillId="39" borderId="40" xfId="46" applyFont="1" applyFill="1" applyBorder="1" applyAlignment="1" applyProtection="1">
      <alignment/>
      <protection/>
    </xf>
    <xf numFmtId="0" fontId="38" fillId="39" borderId="41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3" fillId="45" borderId="0" xfId="0" applyFont="1" applyFill="1" applyBorder="1" applyAlignment="1" applyProtection="1">
      <alignment/>
      <protection/>
    </xf>
    <xf numFmtId="0" fontId="0" fillId="45" borderId="0" xfId="0" applyFill="1" applyBorder="1" applyAlignment="1" applyProtection="1">
      <alignment/>
      <protection/>
    </xf>
    <xf numFmtId="0" fontId="0" fillId="46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18" fillId="0" borderId="10" xfId="0" applyNumberFormat="1" applyFont="1" applyBorder="1" applyAlignment="1" applyProtection="1">
      <alignment horizontal="left"/>
      <protection locked="0"/>
    </xf>
    <xf numFmtId="0" fontId="52" fillId="0" borderId="0" xfId="0" applyFont="1" applyAlignment="1" applyProtection="1">
      <alignment/>
      <protection/>
    </xf>
    <xf numFmtId="0" fontId="28" fillId="46" borderId="42" xfId="0" applyFont="1" applyFill="1" applyBorder="1" applyAlignment="1" applyProtection="1">
      <alignment/>
      <protection/>
    </xf>
    <xf numFmtId="0" fontId="28" fillId="46" borderId="43" xfId="0" applyFont="1" applyFill="1" applyBorder="1" applyAlignment="1" applyProtection="1">
      <alignment/>
      <protection/>
    </xf>
    <xf numFmtId="0" fontId="0" fillId="46" borderId="44" xfId="0" applyFont="1" applyFill="1" applyBorder="1" applyAlignment="1" applyProtection="1">
      <alignment/>
      <protection/>
    </xf>
    <xf numFmtId="0" fontId="0" fillId="46" borderId="0" xfId="0" applyFill="1" applyBorder="1" applyAlignment="1" applyProtection="1">
      <alignment horizontal="right"/>
      <protection/>
    </xf>
    <xf numFmtId="172" fontId="0" fillId="46" borderId="0" xfId="0" applyNumberFormat="1" applyFill="1" applyBorder="1" applyAlignment="1" applyProtection="1">
      <alignment/>
      <protection/>
    </xf>
    <xf numFmtId="2" fontId="14" fillId="46" borderId="0" xfId="0" applyNumberFormat="1" applyFont="1" applyFill="1" applyBorder="1" applyAlignment="1" applyProtection="1">
      <alignment horizontal="right"/>
      <protection/>
    </xf>
    <xf numFmtId="172" fontId="21" fillId="46" borderId="0" xfId="0" applyNumberFormat="1" applyFont="1" applyFill="1" applyBorder="1" applyAlignment="1" applyProtection="1">
      <alignment/>
      <protection/>
    </xf>
    <xf numFmtId="10" fontId="21" fillId="46" borderId="0" xfId="55" applyNumberFormat="1" applyFont="1" applyFill="1" applyBorder="1" applyAlignment="1" applyProtection="1">
      <alignment horizontal="right"/>
      <protection/>
    </xf>
    <xf numFmtId="0" fontId="39" fillId="39" borderId="45" xfId="46" applyFont="1" applyFill="1" applyBorder="1" applyAlignment="1" applyProtection="1">
      <alignment/>
      <protection/>
    </xf>
    <xf numFmtId="0" fontId="40" fillId="46" borderId="46" xfId="0" applyFont="1" applyFill="1" applyBorder="1" applyAlignment="1">
      <alignment/>
    </xf>
    <xf numFmtId="0" fontId="18" fillId="39" borderId="0" xfId="0" applyFont="1" applyFill="1" applyBorder="1" applyAlignment="1" applyProtection="1">
      <alignment/>
      <protection/>
    </xf>
    <xf numFmtId="0" fontId="16" fillId="34" borderId="0" xfId="0" applyFont="1" applyFill="1" applyBorder="1" applyAlignment="1" applyProtection="1">
      <alignment/>
      <protection locked="0"/>
    </xf>
    <xf numFmtId="0" fontId="16" fillId="39" borderId="0" xfId="0" applyFont="1" applyFill="1" applyBorder="1" applyAlignment="1" applyProtection="1">
      <alignment/>
      <protection locked="0"/>
    </xf>
    <xf numFmtId="0" fontId="16" fillId="35" borderId="0" xfId="0" applyFont="1" applyFill="1" applyBorder="1" applyAlignment="1" applyProtection="1">
      <alignment/>
      <protection locked="0"/>
    </xf>
    <xf numFmtId="0" fontId="18" fillId="35" borderId="0" xfId="0" applyFont="1" applyFill="1" applyBorder="1" applyAlignment="1" applyProtection="1">
      <alignment/>
      <protection/>
    </xf>
    <xf numFmtId="0" fontId="16" fillId="44" borderId="0" xfId="0" applyFont="1" applyFill="1" applyBorder="1" applyAlignment="1" applyProtection="1">
      <alignment/>
      <protection locked="0"/>
    </xf>
    <xf numFmtId="0" fontId="18" fillId="4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right"/>
      <protection/>
    </xf>
    <xf numFmtId="0" fontId="53" fillId="46" borderId="41" xfId="0" applyFont="1" applyFill="1" applyBorder="1" applyAlignment="1" applyProtection="1">
      <alignment/>
      <protection/>
    </xf>
    <xf numFmtId="2" fontId="0" fillId="46" borderId="0" xfId="0" applyNumberFormat="1" applyFill="1" applyBorder="1" applyAlignment="1" applyProtection="1">
      <alignment/>
      <protection/>
    </xf>
    <xf numFmtId="2" fontId="22" fillId="46" borderId="0" xfId="0" applyNumberFormat="1" applyFont="1" applyFill="1" applyBorder="1" applyAlignment="1" applyProtection="1">
      <alignment horizontal="left"/>
      <protection/>
    </xf>
    <xf numFmtId="0" fontId="0" fillId="46" borderId="0" xfId="0" applyFill="1" applyBorder="1" applyAlignment="1" applyProtection="1">
      <alignment/>
      <protection/>
    </xf>
    <xf numFmtId="2" fontId="0" fillId="46" borderId="0" xfId="0" applyNumberForma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 applyProtection="1">
      <alignment/>
      <protection/>
    </xf>
    <xf numFmtId="0" fontId="17" fillId="0" borderId="0" xfId="0" applyFont="1" applyFill="1" applyAlignment="1">
      <alignment/>
    </xf>
    <xf numFmtId="1" fontId="20" fillId="42" borderId="0" xfId="0" applyNumberFormat="1" applyFont="1" applyFill="1" applyBorder="1" applyAlignment="1" applyProtection="1">
      <alignment horizontal="center"/>
      <protection/>
    </xf>
    <xf numFmtId="0" fontId="55" fillId="37" borderId="20" xfId="0" applyFont="1" applyFill="1" applyBorder="1" applyAlignment="1" applyProtection="1">
      <alignment/>
      <protection locked="0"/>
    </xf>
    <xf numFmtId="0" fontId="5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0" fillId="33" borderId="0" xfId="0" applyFont="1" applyFill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center"/>
      <protection/>
    </xf>
    <xf numFmtId="172" fontId="4" fillId="0" borderId="0" xfId="55" applyNumberFormat="1" applyFont="1" applyBorder="1" applyAlignment="1" applyProtection="1">
      <alignment horizontal="center"/>
      <protection/>
    </xf>
    <xf numFmtId="172" fontId="3" fillId="41" borderId="47" xfId="0" applyNumberFormat="1" applyFont="1" applyFill="1" applyBorder="1" applyAlignment="1" applyProtection="1">
      <alignment/>
      <protection/>
    </xf>
    <xf numFmtId="2" fontId="4" fillId="41" borderId="48" xfId="0" applyNumberFormat="1" applyFont="1" applyFill="1" applyBorder="1" applyAlignment="1" applyProtection="1">
      <alignment horizontal="center"/>
      <protection/>
    </xf>
    <xf numFmtId="172" fontId="3" fillId="41" borderId="49" xfId="0" applyNumberFormat="1" applyFont="1" applyFill="1" applyBorder="1" applyAlignment="1" applyProtection="1">
      <alignment/>
      <protection/>
    </xf>
    <xf numFmtId="172" fontId="4" fillId="41" borderId="50" xfId="55" applyNumberFormat="1" applyFont="1" applyFill="1" applyBorder="1" applyAlignment="1" applyProtection="1">
      <alignment horizontal="center"/>
      <protection/>
    </xf>
    <xf numFmtId="0" fontId="56" fillId="43" borderId="0" xfId="0" applyFont="1" applyFill="1" applyAlignment="1">
      <alignment/>
    </xf>
    <xf numFmtId="0" fontId="57" fillId="43" borderId="0" xfId="0" applyFont="1" applyFill="1" applyAlignment="1">
      <alignment/>
    </xf>
    <xf numFmtId="0" fontId="58" fillId="47" borderId="20" xfId="0" applyFont="1" applyFill="1" applyBorder="1" applyAlignment="1">
      <alignment/>
    </xf>
    <xf numFmtId="0" fontId="58" fillId="47" borderId="16" xfId="0" applyFont="1" applyFill="1" applyBorder="1" applyAlignment="1">
      <alignment/>
    </xf>
    <xf numFmtId="0" fontId="59" fillId="43" borderId="0" xfId="0" applyFont="1" applyFill="1" applyAlignment="1">
      <alignment/>
    </xf>
    <xf numFmtId="9" fontId="20" fillId="43" borderId="0" xfId="55" applyFont="1" applyFill="1" applyBorder="1" applyAlignment="1" applyProtection="1">
      <alignment/>
      <protection/>
    </xf>
    <xf numFmtId="0" fontId="20" fillId="43" borderId="0" xfId="0" applyFont="1" applyFill="1" applyBorder="1" applyAlignment="1" applyProtection="1">
      <alignment/>
      <protection/>
    </xf>
    <xf numFmtId="0" fontId="11" fillId="43" borderId="0" xfId="0" applyFont="1" applyFill="1" applyBorder="1" applyAlignment="1">
      <alignment horizontal="center"/>
    </xf>
    <xf numFmtId="0" fontId="3" fillId="43" borderId="0" xfId="0" applyFont="1" applyFill="1" applyAlignment="1" applyProtection="1">
      <alignment/>
      <protection/>
    </xf>
    <xf numFmtId="0" fontId="0" fillId="43" borderId="0" xfId="0" applyFill="1" applyBorder="1" applyAlignment="1" applyProtection="1">
      <alignment/>
      <protection/>
    </xf>
    <xf numFmtId="0" fontId="4" fillId="43" borderId="0" xfId="0" applyFont="1" applyFill="1" applyBorder="1" applyAlignment="1" applyProtection="1">
      <alignment/>
      <protection/>
    </xf>
    <xf numFmtId="0" fontId="53" fillId="43" borderId="0" xfId="0" applyFont="1" applyFill="1" applyAlignment="1">
      <alignment/>
    </xf>
    <xf numFmtId="9" fontId="9" fillId="47" borderId="17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/>
    </xf>
    <xf numFmtId="0" fontId="45" fillId="39" borderId="0" xfId="0" applyFont="1" applyFill="1" applyAlignment="1" applyProtection="1">
      <alignment/>
      <protection/>
    </xf>
    <xf numFmtId="0" fontId="0" fillId="0" borderId="51" xfId="0" applyNumberFormat="1" applyBorder="1" applyAlignment="1" applyProtection="1">
      <alignment/>
      <protection hidden="1"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0" fillId="48" borderId="10" xfId="0" applyFill="1" applyBorder="1" applyAlignment="1" applyProtection="1">
      <alignment/>
      <protection/>
    </xf>
    <xf numFmtId="0" fontId="60" fillId="41" borderId="10" xfId="0" applyFont="1" applyFill="1" applyBorder="1" applyAlignment="1" applyProtection="1">
      <alignment horizontal="right"/>
      <protection/>
    </xf>
    <xf numFmtId="0" fontId="60" fillId="41" borderId="1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24" fillId="0" borderId="0" xfId="0" applyFont="1" applyBorder="1" applyAlignment="1" applyProtection="1">
      <alignment/>
      <protection/>
    </xf>
    <xf numFmtId="2" fontId="18" fillId="0" borderId="0" xfId="0" applyNumberFormat="1" applyFont="1" applyBorder="1" applyAlignment="1" applyProtection="1">
      <alignment horizontal="left"/>
      <protection locked="0"/>
    </xf>
    <xf numFmtId="9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3" fontId="18" fillId="0" borderId="0" xfId="51" applyNumberFormat="1" applyFont="1" applyBorder="1" applyAlignment="1" applyProtection="1">
      <alignment horizontal="right"/>
      <protection locked="0"/>
    </xf>
    <xf numFmtId="0" fontId="36" fillId="0" borderId="0" xfId="0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 locked="0"/>
    </xf>
    <xf numFmtId="2" fontId="3" fillId="0" borderId="0" xfId="0" applyNumberFormat="1" applyFont="1" applyFill="1" applyBorder="1" applyAlignment="1" applyProtection="1">
      <alignment horizontal="center"/>
      <protection/>
    </xf>
    <xf numFmtId="9" fontId="0" fillId="0" borderId="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right"/>
      <protection/>
    </xf>
    <xf numFmtId="2" fontId="18" fillId="0" borderId="0" xfId="0" applyNumberFormat="1" applyFont="1" applyFill="1" applyBorder="1" applyAlignment="1" applyProtection="1">
      <alignment horizontal="right"/>
      <protection locked="0"/>
    </xf>
    <xf numFmtId="2" fontId="3" fillId="0" borderId="0" xfId="0" applyNumberFormat="1" applyFont="1" applyFill="1" applyBorder="1" applyAlignment="1" applyProtection="1">
      <alignment horizontal="right"/>
      <protection/>
    </xf>
    <xf numFmtId="172" fontId="3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172" fontId="4" fillId="0" borderId="0" xfId="55" applyNumberFormat="1" applyFont="1" applyFill="1" applyBorder="1" applyAlignment="1" applyProtection="1">
      <alignment horizontal="center"/>
      <protection/>
    </xf>
    <xf numFmtId="2" fontId="18" fillId="0" borderId="0" xfId="0" applyNumberFormat="1" applyFont="1" applyFill="1" applyBorder="1" applyAlignment="1" applyProtection="1">
      <alignment horizontal="left"/>
      <protection locked="0"/>
    </xf>
    <xf numFmtId="173" fontId="18" fillId="0" borderId="0" xfId="51" applyNumberFormat="1" applyFont="1" applyFill="1" applyBorder="1" applyAlignment="1" applyProtection="1">
      <alignment horizontal="right"/>
      <protection locked="0"/>
    </xf>
    <xf numFmtId="2" fontId="3" fillId="0" borderId="0" xfId="0" applyNumberFormat="1" applyFont="1" applyFill="1" applyBorder="1" applyAlignment="1" applyProtection="1">
      <alignment horizontal="left"/>
      <protection/>
    </xf>
    <xf numFmtId="2" fontId="27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2" fontId="0" fillId="0" borderId="23" xfId="0" applyNumberFormat="1" applyBorder="1" applyAlignment="1" applyProtection="1">
      <alignment horizontal="left"/>
      <protection/>
    </xf>
    <xf numFmtId="0" fontId="0" fillId="49" borderId="10" xfId="0" applyFill="1" applyBorder="1" applyAlignment="1" applyProtection="1">
      <alignment/>
      <protection/>
    </xf>
    <xf numFmtId="0" fontId="3" fillId="49" borderId="10" xfId="0" applyFont="1" applyFill="1" applyBorder="1" applyAlignment="1" applyProtection="1">
      <alignment/>
      <protection/>
    </xf>
    <xf numFmtId="2" fontId="0" fillId="48" borderId="23" xfId="0" applyNumberFormat="1" applyFill="1" applyBorder="1" applyAlignment="1" applyProtection="1">
      <alignment horizontal="left"/>
      <protection/>
    </xf>
    <xf numFmtId="2" fontId="0" fillId="48" borderId="10" xfId="0" applyNumberFormat="1" applyFill="1" applyBorder="1" applyAlignment="1" applyProtection="1">
      <alignment horizontal="left"/>
      <protection/>
    </xf>
    <xf numFmtId="0" fontId="61" fillId="43" borderId="0" xfId="0" applyFont="1" applyFill="1" applyAlignment="1">
      <alignment/>
    </xf>
    <xf numFmtId="0" fontId="22" fillId="0" borderId="34" xfId="0" applyFont="1" applyBorder="1" applyAlignment="1" applyProtection="1">
      <alignment/>
      <protection locked="0"/>
    </xf>
    <xf numFmtId="0" fontId="4" fillId="0" borderId="34" xfId="0" applyFont="1" applyBorder="1" applyAlignment="1" applyProtection="1">
      <alignment/>
      <protection locked="0"/>
    </xf>
    <xf numFmtId="0" fontId="16" fillId="34" borderId="0" xfId="0" applyFont="1" applyFill="1" applyBorder="1" applyAlignment="1" applyProtection="1">
      <alignment horizontal="center"/>
      <protection locked="0"/>
    </xf>
    <xf numFmtId="0" fontId="3" fillId="39" borderId="0" xfId="0" applyFont="1" applyFill="1" applyBorder="1" applyAlignment="1" applyProtection="1">
      <alignment/>
      <protection locked="0"/>
    </xf>
    <xf numFmtId="0" fontId="16" fillId="39" borderId="0" xfId="0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3" fillId="44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41" borderId="10" xfId="0" applyFill="1" applyBorder="1" applyAlignment="1" applyProtection="1">
      <alignment/>
      <protection/>
    </xf>
    <xf numFmtId="2" fontId="0" fillId="41" borderId="10" xfId="0" applyNumberFormat="1" applyFill="1" applyBorder="1" applyAlignment="1" applyProtection="1">
      <alignment horizontal="left"/>
      <protection/>
    </xf>
    <xf numFmtId="0" fontId="54" fillId="50" borderId="45" xfId="46" applyFont="1" applyFill="1" applyBorder="1" applyAlignment="1" applyProtection="1">
      <alignment/>
      <protection/>
    </xf>
    <xf numFmtId="0" fontId="136" fillId="50" borderId="52" xfId="0" applyFont="1" applyFill="1" applyBorder="1" applyAlignment="1" applyProtection="1">
      <alignment/>
      <protection/>
    </xf>
    <xf numFmtId="0" fontId="136" fillId="46" borderId="39" xfId="0" applyFont="1" applyFill="1" applyBorder="1" applyAlignment="1" applyProtection="1">
      <alignment/>
      <protection/>
    </xf>
    <xf numFmtId="0" fontId="136" fillId="50" borderId="40" xfId="0" applyFont="1" applyFill="1" applyBorder="1" applyAlignment="1" applyProtection="1">
      <alignment/>
      <protection/>
    </xf>
    <xf numFmtId="0" fontId="136" fillId="46" borderId="0" xfId="0" applyFont="1" applyFill="1" applyBorder="1" applyAlignment="1" applyProtection="1">
      <alignment/>
      <protection/>
    </xf>
    <xf numFmtId="0" fontId="137" fillId="50" borderId="40" xfId="46" applyFont="1" applyFill="1" applyBorder="1" applyAlignment="1" applyProtection="1">
      <alignment/>
      <protection/>
    </xf>
    <xf numFmtId="0" fontId="0" fillId="50" borderId="0" xfId="0" applyFill="1" applyBorder="1" applyAlignment="1" applyProtection="1">
      <alignment/>
      <protection/>
    </xf>
    <xf numFmtId="2" fontId="0" fillId="50" borderId="0" xfId="0" applyNumberFormat="1" applyFill="1" applyBorder="1" applyAlignment="1" applyProtection="1">
      <alignment horizontal="right"/>
      <protection/>
    </xf>
    <xf numFmtId="0" fontId="0" fillId="50" borderId="0" xfId="0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 hidden="1"/>
    </xf>
    <xf numFmtId="0" fontId="4" fillId="0" borderId="53" xfId="0" applyFont="1" applyBorder="1" applyAlignment="1" applyProtection="1">
      <alignment horizontal="center"/>
      <protection/>
    </xf>
    <xf numFmtId="0" fontId="34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 locked="0"/>
    </xf>
    <xf numFmtId="2" fontId="16" fillId="0" borderId="54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0" fillId="0" borderId="0" xfId="0" applyNumberFormat="1" applyAlignment="1">
      <alignment/>
    </xf>
    <xf numFmtId="0" fontId="138" fillId="0" borderId="12" xfId="0" applyNumberFormat="1" applyFont="1" applyBorder="1" applyAlignment="1" applyProtection="1">
      <alignment/>
      <protection hidden="1"/>
    </xf>
    <xf numFmtId="0" fontId="138" fillId="0" borderId="0" xfId="0" applyNumberFormat="1" applyFont="1" applyAlignment="1" applyProtection="1">
      <alignment/>
      <protection hidden="1"/>
    </xf>
    <xf numFmtId="0" fontId="139" fillId="0" borderId="51" xfId="0" applyNumberFormat="1" applyFont="1" applyBorder="1" applyAlignment="1" applyProtection="1">
      <alignment/>
      <protection hidden="1"/>
    </xf>
    <xf numFmtId="0" fontId="139" fillId="51" borderId="51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39" fillId="0" borderId="0" xfId="0" applyNumberFormat="1" applyFont="1" applyAlignment="1">
      <alignment/>
    </xf>
    <xf numFmtId="2" fontId="6" fillId="50" borderId="0" xfId="0" applyNumberFormat="1" applyFont="1" applyFill="1" applyBorder="1" applyAlignment="1" applyProtection="1">
      <alignment horizontal="left"/>
      <protection/>
    </xf>
    <xf numFmtId="0" fontId="5" fillId="0" borderId="0" xfId="46" applyBorder="1" applyAlignment="1" applyProtection="1">
      <alignment horizontal="left"/>
      <protection hidden="1"/>
    </xf>
    <xf numFmtId="0" fontId="3" fillId="0" borderId="12" xfId="0" applyFont="1" applyFill="1" applyBorder="1" applyAlignment="1" applyProtection="1">
      <alignment/>
      <protection hidden="1"/>
    </xf>
    <xf numFmtId="0" fontId="3" fillId="0" borderId="14" xfId="0" applyFont="1" applyFill="1" applyBorder="1" applyAlignment="1" applyProtection="1">
      <alignment/>
      <protection hidden="1"/>
    </xf>
    <xf numFmtId="0" fontId="0" fillId="0" borderId="55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0" fontId="0" fillId="51" borderId="10" xfId="0" applyFill="1" applyBorder="1" applyAlignment="1" applyProtection="1">
      <alignment/>
      <protection hidden="1"/>
    </xf>
    <xf numFmtId="0" fontId="24" fillId="51" borderId="10" xfId="0" applyFont="1" applyFill="1" applyBorder="1" applyAlignment="1" applyProtection="1">
      <alignment/>
      <protection hidden="1"/>
    </xf>
    <xf numFmtId="0" fontId="0" fillId="51" borderId="23" xfId="0" applyNumberFormat="1" applyFill="1" applyBorder="1" applyAlignment="1" applyProtection="1">
      <alignment/>
      <protection hidden="1"/>
    </xf>
    <xf numFmtId="0" fontId="0" fillId="51" borderId="51" xfId="0" applyNumberFormat="1" applyFill="1" applyBorder="1" applyAlignment="1" applyProtection="1">
      <alignment/>
      <protection hidden="1"/>
    </xf>
    <xf numFmtId="0" fontId="0" fillId="51" borderId="55" xfId="0" applyNumberFormat="1" applyFill="1" applyBorder="1" applyAlignment="1" applyProtection="1">
      <alignment/>
      <protection hidden="1"/>
    </xf>
    <xf numFmtId="0" fontId="0" fillId="51" borderId="15" xfId="0" applyFill="1" applyBorder="1" applyAlignment="1" applyProtection="1">
      <alignment/>
      <protection hidden="1"/>
    </xf>
    <xf numFmtId="0" fontId="0" fillId="51" borderId="10" xfId="0" applyFill="1" applyBorder="1" applyAlignment="1">
      <alignment/>
    </xf>
    <xf numFmtId="0" fontId="0" fillId="0" borderId="10" xfId="0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27" fillId="2" borderId="0" xfId="0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/>
      <protection/>
    </xf>
    <xf numFmtId="0" fontId="140" fillId="0" borderId="0" xfId="0" applyFont="1" applyAlignment="1">
      <alignment/>
    </xf>
    <xf numFmtId="0" fontId="140" fillId="0" borderId="51" xfId="0" applyNumberFormat="1" applyFont="1" applyBorder="1" applyAlignment="1" applyProtection="1">
      <alignment/>
      <protection hidden="1"/>
    </xf>
    <xf numFmtId="0" fontId="141" fillId="51" borderId="51" xfId="0" applyNumberFormat="1" applyFont="1" applyFill="1" applyBorder="1" applyAlignment="1" applyProtection="1">
      <alignment/>
      <protection hidden="1"/>
    </xf>
    <xf numFmtId="0" fontId="11" fillId="0" borderId="0" xfId="0" applyFont="1" applyAlignment="1">
      <alignment/>
    </xf>
    <xf numFmtId="0" fontId="22" fillId="0" borderId="0" xfId="0" applyFont="1" applyFill="1" applyBorder="1" applyAlignment="1" applyProtection="1">
      <alignment/>
      <protection/>
    </xf>
    <xf numFmtId="0" fontId="139" fillId="51" borderId="23" xfId="0" applyNumberFormat="1" applyFont="1" applyFill="1" applyBorder="1" applyAlignment="1" applyProtection="1">
      <alignment/>
      <protection hidden="1"/>
    </xf>
    <xf numFmtId="1" fontId="4" fillId="0" borderId="0" xfId="0" applyNumberFormat="1" applyFont="1" applyFill="1" applyBorder="1" applyAlignment="1" applyProtection="1">
      <alignment/>
      <protection/>
    </xf>
    <xf numFmtId="0" fontId="3" fillId="0" borderId="51" xfId="0" applyNumberFormat="1" applyFont="1" applyBorder="1" applyAlignment="1" applyProtection="1">
      <alignment/>
      <protection hidden="1"/>
    </xf>
    <xf numFmtId="0" fontId="139" fillId="0" borderId="23" xfId="0" applyNumberFormat="1" applyFont="1" applyBorder="1" applyAlignment="1" applyProtection="1">
      <alignment/>
      <protection hidden="1"/>
    </xf>
    <xf numFmtId="0" fontId="3" fillId="51" borderId="51" xfId="0" applyNumberFormat="1" applyFont="1" applyFill="1" applyBorder="1" applyAlignment="1" applyProtection="1">
      <alignment/>
      <protection hidden="1"/>
    </xf>
    <xf numFmtId="0" fontId="0" fillId="51" borderId="0" xfId="0" applyFill="1" applyAlignment="1">
      <alignment/>
    </xf>
    <xf numFmtId="0" fontId="142" fillId="33" borderId="10" xfId="0" applyFont="1" applyFill="1" applyBorder="1" applyAlignment="1" applyProtection="1">
      <alignment/>
      <protection hidden="1"/>
    </xf>
    <xf numFmtId="0" fontId="140" fillId="33" borderId="10" xfId="0" applyFont="1" applyFill="1" applyBorder="1" applyAlignment="1" applyProtection="1">
      <alignment/>
      <protection hidden="1"/>
    </xf>
    <xf numFmtId="0" fontId="140" fillId="0" borderId="23" xfId="0" applyNumberFormat="1" applyFont="1" applyBorder="1" applyAlignment="1" applyProtection="1">
      <alignment/>
      <protection hidden="1"/>
    </xf>
    <xf numFmtId="0" fontId="141" fillId="0" borderId="51" xfId="0" applyNumberFormat="1" applyFont="1" applyBorder="1" applyAlignment="1" applyProtection="1">
      <alignment/>
      <protection hidden="1"/>
    </xf>
    <xf numFmtId="0" fontId="142" fillId="0" borderId="10" xfId="0" applyFont="1" applyBorder="1" applyAlignment="1" applyProtection="1">
      <alignment/>
      <protection hidden="1"/>
    </xf>
    <xf numFmtId="0" fontId="140" fillId="0" borderId="10" xfId="0" applyFont="1" applyBorder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0" fontId="140" fillId="0" borderId="15" xfId="0" applyFont="1" applyBorder="1" applyAlignment="1" applyProtection="1">
      <alignment/>
      <protection hidden="1"/>
    </xf>
    <xf numFmtId="0" fontId="140" fillId="0" borderId="10" xfId="0" applyFont="1" applyBorder="1" applyAlignment="1">
      <alignment/>
    </xf>
    <xf numFmtId="0" fontId="0" fillId="0" borderId="0" xfId="0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0" fontId="139" fillId="0" borderId="0" xfId="0" applyNumberFormat="1" applyFont="1" applyBorder="1" applyAlignment="1" applyProtection="1">
      <alignment/>
      <protection hidden="1"/>
    </xf>
    <xf numFmtId="0" fontId="3" fillId="0" borderId="55" xfId="0" applyNumberFormat="1" applyFont="1" applyBorder="1" applyAlignment="1" applyProtection="1">
      <alignment/>
      <protection hidden="1"/>
    </xf>
    <xf numFmtId="0" fontId="139" fillId="0" borderId="55" xfId="0" applyNumberFormat="1" applyFont="1" applyBorder="1" applyAlignment="1" applyProtection="1">
      <alignment/>
      <protection hidden="1"/>
    </xf>
    <xf numFmtId="0" fontId="0" fillId="0" borderId="57" xfId="0" applyBorder="1" applyAlignment="1">
      <alignment/>
    </xf>
    <xf numFmtId="0" fontId="0" fillId="0" borderId="0" xfId="0" applyFont="1" applyAlignment="1">
      <alignment/>
    </xf>
    <xf numFmtId="0" fontId="0" fillId="28" borderId="0" xfId="0" applyFill="1" applyBorder="1" applyAlignment="1" applyProtection="1">
      <alignment/>
      <protection/>
    </xf>
    <xf numFmtId="0" fontId="22" fillId="0" borderId="16" xfId="0" applyFont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/>
      <protection/>
    </xf>
    <xf numFmtId="0" fontId="22" fillId="0" borderId="10" xfId="0" applyFont="1" applyFill="1" applyBorder="1" applyAlignment="1" applyProtection="1">
      <alignment horizontal="right"/>
      <protection/>
    </xf>
    <xf numFmtId="0" fontId="22" fillId="0" borderId="15" xfId="0" applyFont="1" applyBorder="1" applyAlignment="1" applyProtection="1">
      <alignment/>
      <protection/>
    </xf>
    <xf numFmtId="0" fontId="22" fillId="0" borderId="15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58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59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4" fillId="40" borderId="60" xfId="0" applyFont="1" applyFill="1" applyBorder="1" applyAlignment="1" applyProtection="1">
      <alignment horizontal="right"/>
      <protection/>
    </xf>
    <xf numFmtId="0" fontId="4" fillId="52" borderId="59" xfId="0" applyFont="1" applyFill="1" applyBorder="1" applyAlignment="1" applyProtection="1">
      <alignment/>
      <protection/>
    </xf>
    <xf numFmtId="0" fontId="22" fillId="37" borderId="26" xfId="0" applyFont="1" applyFill="1" applyBorder="1" applyAlignment="1" applyProtection="1">
      <alignment/>
      <protection/>
    </xf>
    <xf numFmtId="0" fontId="4" fillId="40" borderId="30" xfId="0" applyFont="1" applyFill="1" applyBorder="1" applyAlignment="1" applyProtection="1">
      <alignment/>
      <protection/>
    </xf>
    <xf numFmtId="0" fontId="4" fillId="36" borderId="25" xfId="0" applyFont="1" applyFill="1" applyBorder="1" applyAlignment="1" applyProtection="1">
      <alignment/>
      <protection/>
    </xf>
    <xf numFmtId="9" fontId="16" fillId="41" borderId="61" xfId="0" applyNumberFormat="1" applyFont="1" applyFill="1" applyBorder="1" applyAlignment="1" applyProtection="1">
      <alignment/>
      <protection locked="0"/>
    </xf>
    <xf numFmtId="0" fontId="38" fillId="37" borderId="16" xfId="0" applyFont="1" applyFill="1" applyBorder="1" applyAlignment="1" applyProtection="1">
      <alignment/>
      <protection/>
    </xf>
    <xf numFmtId="0" fontId="22" fillId="0" borderId="20" xfId="0" applyFont="1" applyFill="1" applyBorder="1" applyAlignment="1" applyProtection="1">
      <alignment/>
      <protection/>
    </xf>
    <xf numFmtId="0" fontId="22" fillId="0" borderId="16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171" fontId="22" fillId="0" borderId="0" xfId="49" applyFont="1" applyFill="1" applyAlignment="1" applyProtection="1">
      <alignment/>
      <protection/>
    </xf>
    <xf numFmtId="1" fontId="22" fillId="0" borderId="0" xfId="0" applyNumberFormat="1" applyFont="1" applyFill="1" applyAlignment="1" applyProtection="1">
      <alignment horizontal="left"/>
      <protection/>
    </xf>
    <xf numFmtId="0" fontId="22" fillId="50" borderId="0" xfId="0" applyFont="1" applyFill="1" applyAlignment="1" applyProtection="1">
      <alignment/>
      <protection/>
    </xf>
    <xf numFmtId="0" fontId="22" fillId="0" borderId="62" xfId="0" applyFont="1" applyBorder="1" applyAlignment="1" applyProtection="1">
      <alignment/>
      <protection/>
    </xf>
    <xf numFmtId="0" fontId="22" fillId="0" borderId="56" xfId="0" applyFont="1" applyBorder="1" applyAlignment="1" applyProtection="1">
      <alignment/>
      <protection/>
    </xf>
    <xf numFmtId="0" fontId="22" fillId="0" borderId="63" xfId="0" applyFont="1" applyBorder="1" applyAlignment="1" applyProtection="1">
      <alignment/>
      <protection/>
    </xf>
    <xf numFmtId="10" fontId="22" fillId="0" borderId="64" xfId="55" applyNumberFormat="1" applyFont="1" applyBorder="1" applyAlignment="1" applyProtection="1">
      <alignment/>
      <protection/>
    </xf>
    <xf numFmtId="9" fontId="22" fillId="0" borderId="56" xfId="55" applyNumberFormat="1" applyFont="1" applyFill="1" applyBorder="1" applyAlignment="1" applyProtection="1">
      <alignment/>
      <protection/>
    </xf>
    <xf numFmtId="10" fontId="143" fillId="0" borderId="56" xfId="55" applyNumberFormat="1" applyFont="1" applyFill="1" applyBorder="1" applyAlignment="1" applyProtection="1">
      <alignment/>
      <protection locked="0"/>
    </xf>
    <xf numFmtId="172" fontId="22" fillId="0" borderId="56" xfId="55" applyNumberFormat="1" applyFont="1" applyFill="1" applyBorder="1" applyAlignment="1" applyProtection="1">
      <alignment/>
      <protection/>
    </xf>
    <xf numFmtId="0" fontId="22" fillId="0" borderId="63" xfId="0" applyFont="1" applyFill="1" applyBorder="1" applyAlignment="1" applyProtection="1">
      <alignment/>
      <protection/>
    </xf>
    <xf numFmtId="0" fontId="4" fillId="0" borderId="65" xfId="0" applyFont="1" applyFill="1" applyBorder="1" applyAlignment="1" applyProtection="1">
      <alignment/>
      <protection/>
    </xf>
    <xf numFmtId="0" fontId="64" fillId="45" borderId="0" xfId="0" applyFont="1" applyFill="1" applyAlignment="1" applyProtection="1">
      <alignment/>
      <protection/>
    </xf>
    <xf numFmtId="0" fontId="8" fillId="39" borderId="0" xfId="0" applyFont="1" applyFill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/>
      <protection/>
    </xf>
    <xf numFmtId="2" fontId="22" fillId="0" borderId="66" xfId="0" applyNumberFormat="1" applyFont="1" applyBorder="1" applyAlignment="1" applyProtection="1">
      <alignment horizontal="left"/>
      <protection/>
    </xf>
    <xf numFmtId="0" fontId="22" fillId="51" borderId="10" xfId="0" applyFont="1" applyFill="1" applyBorder="1" applyAlignment="1" applyProtection="1">
      <alignment horizontal="right"/>
      <protection/>
    </xf>
    <xf numFmtId="0" fontId="38" fillId="37" borderId="0" xfId="0" applyFont="1" applyFill="1" applyBorder="1" applyAlignment="1" applyProtection="1">
      <alignment/>
      <protection/>
    </xf>
    <xf numFmtId="174" fontId="139" fillId="0" borderId="51" xfId="0" applyNumberFormat="1" applyFont="1" applyBorder="1" applyAlignment="1" applyProtection="1">
      <alignment/>
      <protection hidden="1"/>
    </xf>
    <xf numFmtId="0" fontId="24" fillId="0" borderId="0" xfId="0" applyNumberFormat="1" applyFont="1" applyAlignment="1" applyProtection="1">
      <alignment/>
      <protection hidden="1"/>
    </xf>
    <xf numFmtId="9" fontId="16" fillId="37" borderId="2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144" fillId="0" borderId="10" xfId="0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right"/>
      <protection/>
    </xf>
    <xf numFmtId="2" fontId="16" fillId="0" borderId="0" xfId="0" applyNumberFormat="1" applyFont="1" applyFill="1" applyBorder="1" applyAlignment="1" applyProtection="1">
      <alignment horizontal="center"/>
      <protection/>
    </xf>
    <xf numFmtId="17" fontId="4" fillId="0" borderId="0" xfId="0" applyNumberFormat="1" applyFont="1" applyAlignment="1" applyProtection="1">
      <alignment/>
      <protection/>
    </xf>
    <xf numFmtId="1" fontId="4" fillId="0" borderId="56" xfId="0" applyNumberFormat="1" applyFont="1" applyFill="1" applyBorder="1" applyAlignment="1" applyProtection="1">
      <alignment/>
      <protection/>
    </xf>
    <xf numFmtId="0" fontId="2" fillId="53" borderId="0" xfId="0" applyFont="1" applyFill="1" applyAlignment="1" applyProtection="1">
      <alignment horizontal="left"/>
      <protection/>
    </xf>
    <xf numFmtId="10" fontId="22" fillId="0" borderId="10" xfId="55" applyNumberFormat="1" applyFont="1" applyBorder="1" applyAlignment="1" applyProtection="1">
      <alignment/>
      <protection/>
    </xf>
    <xf numFmtId="0" fontId="22" fillId="51" borderId="14" xfId="0" applyFont="1" applyFill="1" applyBorder="1" applyAlignment="1" applyProtection="1">
      <alignment horizontal="right"/>
      <protection/>
    </xf>
    <xf numFmtId="2" fontId="0" fillId="0" borderId="0" xfId="0" applyNumberFormat="1" applyFont="1" applyBorder="1" applyAlignment="1">
      <alignment horizontal="right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54" borderId="0" xfId="0" applyFill="1" applyAlignment="1" applyProtection="1">
      <alignment/>
      <protection/>
    </xf>
    <xf numFmtId="0" fontId="22" fillId="54" borderId="0" xfId="0" applyFont="1" applyFill="1" applyAlignment="1" applyProtection="1">
      <alignment/>
      <protection/>
    </xf>
    <xf numFmtId="0" fontId="64" fillId="54" borderId="0" xfId="0" applyFont="1" applyFill="1" applyAlignment="1" applyProtection="1">
      <alignment/>
      <protection/>
    </xf>
    <xf numFmtId="0" fontId="40" fillId="46" borderId="0" xfId="0" applyFont="1" applyFill="1" applyBorder="1" applyAlignment="1" applyProtection="1">
      <alignment/>
      <protection/>
    </xf>
    <xf numFmtId="0" fontId="53" fillId="46" borderId="0" xfId="0" applyFont="1" applyFill="1" applyBorder="1" applyAlignment="1" applyProtection="1">
      <alignment/>
      <protection/>
    </xf>
    <xf numFmtId="1" fontId="145" fillId="0" borderId="0" xfId="0" applyNumberFormat="1" applyFont="1" applyBorder="1" applyAlignment="1">
      <alignment/>
    </xf>
    <xf numFmtId="0" fontId="146" fillId="0" borderId="0" xfId="0" applyFont="1" applyBorder="1" applyAlignment="1" applyProtection="1">
      <alignment/>
      <protection/>
    </xf>
    <xf numFmtId="0" fontId="0" fillId="50" borderId="0" xfId="0" applyNumberFormat="1" applyFill="1" applyBorder="1" applyAlignment="1" applyProtection="1">
      <alignment/>
      <protection/>
    </xf>
    <xf numFmtId="0" fontId="0" fillId="46" borderId="0" xfId="0" applyNumberFormat="1" applyFill="1" applyBorder="1" applyAlignment="1" applyProtection="1">
      <alignment/>
      <protection/>
    </xf>
    <xf numFmtId="0" fontId="0" fillId="39" borderId="67" xfId="0" applyFill="1" applyBorder="1" applyAlignment="1" applyProtection="1">
      <alignment/>
      <protection/>
    </xf>
    <xf numFmtId="0" fontId="0" fillId="39" borderId="50" xfId="0" applyFill="1" applyBorder="1" applyAlignment="1" applyProtection="1">
      <alignment/>
      <protection/>
    </xf>
    <xf numFmtId="9" fontId="3" fillId="0" borderId="0" xfId="0" applyNumberFormat="1" applyFont="1" applyFill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4" fillId="0" borderId="56" xfId="0" applyFont="1" applyBorder="1" applyAlignment="1" applyProtection="1">
      <alignment/>
      <protection/>
    </xf>
    <xf numFmtId="0" fontId="4" fillId="0" borderId="63" xfId="0" applyFont="1" applyBorder="1" applyAlignment="1" applyProtection="1">
      <alignment/>
      <protection/>
    </xf>
    <xf numFmtId="0" fontId="16" fillId="37" borderId="26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2" fontId="22" fillId="0" borderId="68" xfId="0" applyNumberFormat="1" applyFont="1" applyBorder="1" applyAlignment="1" applyProtection="1">
      <alignment horizontal="left"/>
      <protection/>
    </xf>
    <xf numFmtId="2" fontId="16" fillId="0" borderId="69" xfId="0" applyNumberFormat="1" applyFont="1" applyBorder="1" applyAlignment="1" applyProtection="1">
      <alignment horizontal="left"/>
      <protection locked="0"/>
    </xf>
    <xf numFmtId="2" fontId="22" fillId="0" borderId="70" xfId="0" applyNumberFormat="1" applyFont="1" applyBorder="1" applyAlignment="1" applyProtection="1">
      <alignment horizontal="right"/>
      <protection/>
    </xf>
    <xf numFmtId="2" fontId="22" fillId="0" borderId="66" xfId="0" applyNumberFormat="1" applyFont="1" applyBorder="1" applyAlignment="1" applyProtection="1">
      <alignment horizontal="right"/>
      <protection/>
    </xf>
    <xf numFmtId="2" fontId="22" fillId="51" borderId="56" xfId="0" applyNumberFormat="1" applyFont="1" applyFill="1" applyBorder="1" applyAlignment="1" applyProtection="1">
      <alignment horizontal="left"/>
      <protection/>
    </xf>
    <xf numFmtId="2" fontId="22" fillId="19" borderId="56" xfId="0" applyNumberFormat="1" applyFont="1" applyFill="1" applyBorder="1" applyAlignment="1" applyProtection="1">
      <alignment horizontal="left"/>
      <protection/>
    </xf>
    <xf numFmtId="173" fontId="16" fillId="0" borderId="69" xfId="51" applyNumberFormat="1" applyFont="1" applyBorder="1" applyAlignment="1" applyProtection="1">
      <alignment horizontal="right"/>
      <protection locked="0"/>
    </xf>
    <xf numFmtId="0" fontId="0" fillId="39" borderId="71" xfId="0" applyFill="1" applyBorder="1" applyAlignment="1" applyProtection="1">
      <alignment/>
      <protection/>
    </xf>
    <xf numFmtId="0" fontId="19" fillId="0" borderId="71" xfId="0" applyFont="1" applyFill="1" applyBorder="1" applyAlignment="1" applyProtection="1">
      <alignment horizontal="left"/>
      <protection/>
    </xf>
    <xf numFmtId="0" fontId="0" fillId="50" borderId="71" xfId="0" applyFill="1" applyBorder="1" applyAlignment="1" applyProtection="1">
      <alignment/>
      <protection/>
    </xf>
    <xf numFmtId="0" fontId="0" fillId="46" borderId="71" xfId="0" applyFill="1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0" fillId="0" borderId="71" xfId="0" applyBorder="1" applyAlignment="1" applyProtection="1">
      <alignment horizontal="right"/>
      <protection/>
    </xf>
    <xf numFmtId="0" fontId="0" fillId="0" borderId="71" xfId="0" applyFill="1" applyBorder="1" applyAlignment="1" applyProtection="1">
      <alignment/>
      <protection/>
    </xf>
    <xf numFmtId="1" fontId="0" fillId="42" borderId="71" xfId="0" applyNumberFormat="1" applyFill="1" applyBorder="1" applyAlignment="1" applyProtection="1">
      <alignment/>
      <protection/>
    </xf>
    <xf numFmtId="2" fontId="0" fillId="0" borderId="71" xfId="0" applyNumberFormat="1" applyFont="1" applyBorder="1" applyAlignment="1">
      <alignment horizontal="right"/>
    </xf>
    <xf numFmtId="0" fontId="3" fillId="0" borderId="71" xfId="0" applyFont="1" applyFill="1" applyBorder="1" applyAlignment="1" applyProtection="1">
      <alignment/>
      <protection/>
    </xf>
    <xf numFmtId="0" fontId="0" fillId="0" borderId="72" xfId="0" applyBorder="1" applyAlignment="1" applyProtection="1">
      <alignment/>
      <protection/>
    </xf>
    <xf numFmtId="0" fontId="0" fillId="2" borderId="71" xfId="0" applyFill="1" applyBorder="1" applyAlignment="1" applyProtection="1">
      <alignment/>
      <protection/>
    </xf>
    <xf numFmtId="1" fontId="145" fillId="0" borderId="71" xfId="0" applyNumberFormat="1" applyFont="1" applyBorder="1" applyAlignment="1">
      <alignment/>
    </xf>
    <xf numFmtId="0" fontId="4" fillId="0" borderId="71" xfId="0" applyFont="1" applyFill="1" applyBorder="1" applyAlignment="1" applyProtection="1">
      <alignment/>
      <protection/>
    </xf>
    <xf numFmtId="0" fontId="0" fillId="45" borderId="71" xfId="0" applyFill="1" applyBorder="1" applyAlignment="1" applyProtection="1">
      <alignment/>
      <protection/>
    </xf>
    <xf numFmtId="0" fontId="4" fillId="0" borderId="72" xfId="0" applyFont="1" applyBorder="1" applyAlignment="1" applyProtection="1">
      <alignment/>
      <protection/>
    </xf>
    <xf numFmtId="0" fontId="4" fillId="0" borderId="73" xfId="0" applyFont="1" applyBorder="1" applyAlignment="1" applyProtection="1">
      <alignment/>
      <protection/>
    </xf>
    <xf numFmtId="0" fontId="22" fillId="0" borderId="71" xfId="0" applyFont="1" applyFill="1" applyBorder="1" applyAlignment="1" applyProtection="1">
      <alignment/>
      <protection/>
    </xf>
    <xf numFmtId="0" fontId="22" fillId="37" borderId="74" xfId="0" applyFont="1" applyFill="1" applyBorder="1" applyAlignment="1" applyProtection="1">
      <alignment/>
      <protection/>
    </xf>
    <xf numFmtId="9" fontId="16" fillId="0" borderId="75" xfId="0" applyNumberFormat="1" applyFont="1" applyFill="1" applyBorder="1" applyAlignment="1" applyProtection="1">
      <alignment horizontal="center"/>
      <protection locked="0"/>
    </xf>
    <xf numFmtId="1" fontId="4" fillId="0" borderId="76" xfId="0" applyNumberFormat="1" applyFont="1" applyFill="1" applyBorder="1" applyAlignment="1" applyProtection="1">
      <alignment/>
      <protection/>
    </xf>
    <xf numFmtId="0" fontId="22" fillId="0" borderId="77" xfId="0" applyFont="1" applyBorder="1" applyAlignment="1" applyProtection="1">
      <alignment/>
      <protection/>
    </xf>
    <xf numFmtId="0" fontId="22" fillId="0" borderId="72" xfId="0" applyFont="1" applyBorder="1" applyAlignment="1" applyProtection="1">
      <alignment/>
      <protection/>
    </xf>
    <xf numFmtId="0" fontId="22" fillId="0" borderId="72" xfId="0" applyFont="1" applyFill="1" applyBorder="1" applyAlignment="1" applyProtection="1">
      <alignment/>
      <protection/>
    </xf>
    <xf numFmtId="49" fontId="22" fillId="51" borderId="78" xfId="0" applyNumberFormat="1" applyFont="1" applyFill="1" applyBorder="1" applyAlignment="1" applyProtection="1">
      <alignment horizontal="left"/>
      <protection/>
    </xf>
    <xf numFmtId="0" fontId="62" fillId="0" borderId="72" xfId="0" applyFont="1" applyBorder="1" applyAlignment="1" applyProtection="1">
      <alignment/>
      <protection/>
    </xf>
    <xf numFmtId="0" fontId="147" fillId="0" borderId="71" xfId="0" applyFont="1" applyBorder="1" applyAlignment="1">
      <alignment/>
    </xf>
    <xf numFmtId="0" fontId="22" fillId="0" borderId="73" xfId="0" applyFont="1" applyBorder="1" applyAlignment="1" applyProtection="1">
      <alignment/>
      <protection/>
    </xf>
    <xf numFmtId="0" fontId="4" fillId="0" borderId="79" xfId="0" applyFont="1" applyBorder="1" applyAlignment="1" applyProtection="1">
      <alignment/>
      <protection/>
    </xf>
    <xf numFmtId="9" fontId="22" fillId="0" borderId="78" xfId="0" applyNumberFormat="1" applyFont="1" applyBorder="1" applyAlignment="1" applyProtection="1">
      <alignment/>
      <protection/>
    </xf>
    <xf numFmtId="172" fontId="4" fillId="0" borderId="79" xfId="0" applyNumberFormat="1" applyFont="1" applyBorder="1" applyAlignment="1" applyProtection="1">
      <alignment/>
      <protection/>
    </xf>
    <xf numFmtId="172" fontId="4" fillId="0" borderId="71" xfId="0" applyNumberFormat="1" applyFont="1" applyBorder="1" applyAlignment="1" applyProtection="1">
      <alignment/>
      <protection locked="0"/>
    </xf>
    <xf numFmtId="0" fontId="148" fillId="55" borderId="80" xfId="0" applyFont="1" applyFill="1" applyBorder="1" applyAlignment="1" applyProtection="1">
      <alignment/>
      <protection/>
    </xf>
    <xf numFmtId="0" fontId="148" fillId="55" borderId="81" xfId="0" applyFont="1" applyFill="1" applyBorder="1" applyAlignment="1" applyProtection="1">
      <alignment/>
      <protection/>
    </xf>
    <xf numFmtId="2" fontId="149" fillId="56" borderId="82" xfId="0" applyNumberFormat="1" applyFont="1" applyFill="1" applyBorder="1" applyAlignment="1" applyProtection="1">
      <alignment/>
      <protection/>
    </xf>
    <xf numFmtId="2" fontId="22" fillId="0" borderId="83" xfId="0" applyNumberFormat="1" applyFont="1" applyBorder="1" applyAlignment="1" applyProtection="1">
      <alignment/>
      <protection/>
    </xf>
    <xf numFmtId="2" fontId="4" fillId="0" borderId="83" xfId="0" applyNumberFormat="1" applyFont="1" applyBorder="1" applyAlignment="1" applyProtection="1">
      <alignment/>
      <protection/>
    </xf>
    <xf numFmtId="9" fontId="22" fillId="0" borderId="84" xfId="0" applyNumberFormat="1" applyFont="1" applyBorder="1" applyAlignment="1" applyProtection="1">
      <alignment/>
      <protection/>
    </xf>
    <xf numFmtId="0" fontId="22" fillId="0" borderId="85" xfId="0" applyFont="1" applyBorder="1" applyAlignment="1" applyProtection="1">
      <alignment/>
      <protection/>
    </xf>
    <xf numFmtId="0" fontId="4" fillId="0" borderId="86" xfId="0" applyFont="1" applyBorder="1" applyAlignment="1" applyProtection="1">
      <alignment/>
      <protection/>
    </xf>
    <xf numFmtId="0" fontId="22" fillId="0" borderId="83" xfId="0" applyFont="1" applyBorder="1" applyAlignment="1" applyProtection="1">
      <alignment/>
      <protection/>
    </xf>
    <xf numFmtId="172" fontId="4" fillId="0" borderId="87" xfId="0" applyNumberFormat="1" applyFont="1" applyBorder="1" applyAlignment="1" applyProtection="1">
      <alignment/>
      <protection/>
    </xf>
    <xf numFmtId="0" fontId="64" fillId="54" borderId="71" xfId="0" applyFont="1" applyFill="1" applyBorder="1" applyAlignment="1" applyProtection="1">
      <alignment/>
      <protection/>
    </xf>
    <xf numFmtId="0" fontId="22" fillId="50" borderId="71" xfId="0" applyFont="1" applyFill="1" applyBorder="1" applyAlignment="1" applyProtection="1">
      <alignment/>
      <protection/>
    </xf>
    <xf numFmtId="0" fontId="16" fillId="0" borderId="88" xfId="0" applyFont="1" applyBorder="1" applyAlignment="1" applyProtection="1">
      <alignment horizontal="center"/>
      <protection locked="0"/>
    </xf>
    <xf numFmtId="9" fontId="16" fillId="0" borderId="75" xfId="0" applyNumberFormat="1" applyFont="1" applyBorder="1" applyAlignment="1" applyProtection="1">
      <alignment horizontal="center"/>
      <protection locked="0"/>
    </xf>
    <xf numFmtId="9" fontId="16" fillId="37" borderId="79" xfId="0" applyNumberFormat="1" applyFont="1" applyFill="1" applyBorder="1" applyAlignment="1" applyProtection="1">
      <alignment/>
      <protection locked="0"/>
    </xf>
    <xf numFmtId="1" fontId="4" fillId="0" borderId="76" xfId="0" applyNumberFormat="1" applyFont="1" applyBorder="1" applyAlignment="1" applyProtection="1">
      <alignment/>
      <protection/>
    </xf>
    <xf numFmtId="172" fontId="4" fillId="0" borderId="71" xfId="0" applyNumberFormat="1" applyFont="1" applyBorder="1" applyAlignment="1" applyProtection="1">
      <alignment/>
      <protection/>
    </xf>
    <xf numFmtId="0" fontId="4" fillId="0" borderId="71" xfId="0" applyFont="1" applyBorder="1" applyAlignment="1" applyProtection="1">
      <alignment/>
      <protection/>
    </xf>
    <xf numFmtId="0" fontId="22" fillId="54" borderId="71" xfId="0" applyFont="1" applyFill="1" applyBorder="1" applyAlignment="1" applyProtection="1">
      <alignment/>
      <protection/>
    </xf>
    <xf numFmtId="9" fontId="16" fillId="0" borderId="75" xfId="55" applyFont="1" applyBorder="1" applyAlignment="1" applyProtection="1">
      <alignment horizontal="center"/>
      <protection locked="0"/>
    </xf>
    <xf numFmtId="2" fontId="4" fillId="0" borderId="76" xfId="0" applyNumberFormat="1" applyFont="1" applyBorder="1" applyAlignment="1" applyProtection="1">
      <alignment/>
      <protection/>
    </xf>
    <xf numFmtId="0" fontId="40" fillId="46" borderId="89" xfId="0" applyFont="1" applyFill="1" applyBorder="1" applyAlignment="1" applyProtection="1">
      <alignment/>
      <protection/>
    </xf>
    <xf numFmtId="0" fontId="40" fillId="46" borderId="71" xfId="0" applyFont="1" applyFill="1" applyBorder="1" applyAlignment="1" applyProtection="1">
      <alignment/>
      <protection/>
    </xf>
    <xf numFmtId="0" fontId="53" fillId="46" borderId="90" xfId="0" applyFont="1" applyFill="1" applyBorder="1" applyAlignment="1" applyProtection="1">
      <alignment/>
      <protection/>
    </xf>
    <xf numFmtId="0" fontId="150" fillId="0" borderId="71" xfId="0" applyFont="1" applyBorder="1" applyAlignment="1" applyProtection="1">
      <alignment/>
      <protection/>
    </xf>
    <xf numFmtId="0" fontId="0" fillId="0" borderId="71" xfId="0" applyBorder="1" applyAlignment="1" applyProtection="1">
      <alignment/>
      <protection locked="0"/>
    </xf>
    <xf numFmtId="0" fontId="68" fillId="37" borderId="79" xfId="0" applyFont="1" applyFill="1" applyBorder="1" applyAlignment="1" applyProtection="1">
      <alignment/>
      <protection locked="0"/>
    </xf>
    <xf numFmtId="0" fontId="151" fillId="51" borderId="91" xfId="0" applyFont="1" applyFill="1" applyBorder="1" applyAlignment="1" applyProtection="1">
      <alignment horizontal="center" vertical="center"/>
      <protection/>
    </xf>
    <xf numFmtId="10" fontId="22" fillId="0" borderId="0" xfId="55" applyNumberFormat="1" applyFont="1" applyFill="1" applyAlignment="1" applyProtection="1">
      <alignment/>
      <protection/>
    </xf>
    <xf numFmtId="0" fontId="152" fillId="39" borderId="92" xfId="46" applyFont="1" applyFill="1" applyBorder="1" applyAlignment="1" applyProtection="1">
      <alignment/>
      <protection/>
    </xf>
    <xf numFmtId="0" fontId="152" fillId="39" borderId="93" xfId="46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/>
      <protection/>
    </xf>
    <xf numFmtId="0" fontId="153" fillId="0" borderId="23" xfId="0" applyNumberFormat="1" applyFont="1" applyBorder="1" applyAlignment="1" applyProtection="1">
      <alignment/>
      <protection hidden="1"/>
    </xf>
    <xf numFmtId="172" fontId="4" fillId="0" borderId="0" xfId="0" applyNumberFormat="1" applyFont="1" applyBorder="1" applyAlignment="1" applyProtection="1">
      <alignment/>
      <protection locked="0"/>
    </xf>
    <xf numFmtId="2" fontId="149" fillId="56" borderId="94" xfId="0" applyNumberFormat="1" applyFont="1" applyFill="1" applyBorder="1" applyAlignment="1" applyProtection="1">
      <alignment/>
      <protection/>
    </xf>
    <xf numFmtId="2" fontId="22" fillId="0" borderId="0" xfId="0" applyNumberFormat="1" applyFont="1" applyBorder="1" applyAlignment="1" applyProtection="1">
      <alignment/>
      <protection/>
    </xf>
    <xf numFmtId="0" fontId="22" fillId="5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 locked="0"/>
    </xf>
    <xf numFmtId="9" fontId="16" fillId="37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22" fillId="54" borderId="0" xfId="0" applyFont="1" applyFill="1" applyBorder="1" applyAlignment="1" applyProtection="1">
      <alignment/>
      <protection/>
    </xf>
    <xf numFmtId="9" fontId="16" fillId="0" borderId="0" xfId="55" applyFont="1" applyBorder="1" applyAlignment="1" applyProtection="1">
      <alignment horizontal="center"/>
      <protection locked="0"/>
    </xf>
    <xf numFmtId="2" fontId="22" fillId="0" borderId="95" xfId="0" applyNumberFormat="1" applyFont="1" applyBorder="1" applyAlignment="1" applyProtection="1">
      <alignment horizontal="left"/>
      <protection/>
    </xf>
    <xf numFmtId="2" fontId="22" fillId="0" borderId="38" xfId="0" applyNumberFormat="1" applyFont="1" applyBorder="1" applyAlignment="1" applyProtection="1">
      <alignment horizontal="left"/>
      <protection/>
    </xf>
    <xf numFmtId="2" fontId="22" fillId="0" borderId="95" xfId="0" applyNumberFormat="1" applyFont="1" applyFill="1" applyBorder="1" applyAlignment="1" applyProtection="1">
      <alignment horizontal="left"/>
      <protection/>
    </xf>
    <xf numFmtId="2" fontId="22" fillId="51" borderId="96" xfId="0" applyNumberFormat="1" applyFont="1" applyFill="1" applyBorder="1" applyAlignment="1" applyProtection="1">
      <alignment horizontal="left"/>
      <protection/>
    </xf>
    <xf numFmtId="2" fontId="16" fillId="0" borderId="97" xfId="0" applyNumberFormat="1" applyFont="1" applyBorder="1" applyAlignment="1" applyProtection="1">
      <alignment horizontal="left"/>
      <protection locked="0"/>
    </xf>
    <xf numFmtId="2" fontId="4" fillId="0" borderId="98" xfId="0" applyNumberFormat="1" applyFont="1" applyBorder="1" applyAlignment="1" applyProtection="1">
      <alignment horizontal="center"/>
      <protection/>
    </xf>
    <xf numFmtId="2" fontId="22" fillId="0" borderId="99" xfId="0" applyNumberFormat="1" applyFont="1" applyBorder="1" applyAlignment="1" applyProtection="1">
      <alignment horizontal="right"/>
      <protection/>
    </xf>
    <xf numFmtId="2" fontId="22" fillId="0" borderId="38" xfId="0" applyNumberFormat="1" applyFont="1" applyBorder="1" applyAlignment="1" applyProtection="1">
      <alignment horizontal="right"/>
      <protection/>
    </xf>
    <xf numFmtId="2" fontId="16" fillId="0" borderId="97" xfId="0" applyNumberFormat="1" applyFont="1" applyBorder="1" applyAlignment="1" applyProtection="1">
      <alignment horizontal="right"/>
      <protection locked="0"/>
    </xf>
    <xf numFmtId="2" fontId="4" fillId="0" borderId="100" xfId="0" applyNumberFormat="1" applyFont="1" applyBorder="1" applyAlignment="1" applyProtection="1">
      <alignment horizontal="left"/>
      <protection/>
    </xf>
    <xf numFmtId="0" fontId="4" fillId="0" borderId="101" xfId="0" applyFont="1" applyFill="1" applyBorder="1" applyAlignment="1" applyProtection="1">
      <alignment/>
      <protection/>
    </xf>
    <xf numFmtId="2" fontId="148" fillId="55" borderId="102" xfId="0" applyNumberFormat="1" applyFont="1" applyFill="1" applyBorder="1" applyAlignment="1" applyProtection="1">
      <alignment/>
      <protection/>
    </xf>
    <xf numFmtId="10" fontId="148" fillId="55" borderId="103" xfId="55" applyNumberFormat="1" applyFont="1" applyFill="1" applyBorder="1" applyAlignment="1" applyProtection="1">
      <alignment/>
      <protection/>
    </xf>
    <xf numFmtId="0" fontId="0" fillId="0" borderId="101" xfId="0" applyBorder="1" applyAlignment="1" applyProtection="1">
      <alignment/>
      <protection/>
    </xf>
    <xf numFmtId="0" fontId="57" fillId="56" borderId="104" xfId="0" applyFont="1" applyFill="1" applyBorder="1" applyAlignment="1" applyProtection="1">
      <alignment/>
      <protection locked="0"/>
    </xf>
    <xf numFmtId="0" fontId="22" fillId="0" borderId="105" xfId="0" applyFont="1" applyFill="1" applyBorder="1" applyAlignment="1" applyProtection="1">
      <alignment/>
      <protection/>
    </xf>
    <xf numFmtId="2" fontId="4" fillId="0" borderId="105" xfId="0" applyNumberFormat="1" applyFont="1" applyFill="1" applyBorder="1" applyAlignment="1" applyProtection="1">
      <alignment/>
      <protection/>
    </xf>
    <xf numFmtId="2" fontId="22" fillId="0" borderId="106" xfId="0" applyNumberFormat="1" applyFont="1" applyBorder="1" applyAlignment="1" applyProtection="1">
      <alignment horizontal="right"/>
      <protection/>
    </xf>
    <xf numFmtId="2" fontId="4" fillId="0" borderId="107" xfId="0" applyNumberFormat="1" applyFont="1" applyBorder="1" applyAlignment="1" applyProtection="1">
      <alignment horizontal="center"/>
      <protection/>
    </xf>
    <xf numFmtId="2" fontId="4" fillId="0" borderId="105" xfId="0" applyNumberFormat="1" applyFont="1" applyBorder="1" applyAlignment="1" applyProtection="1">
      <alignment horizontal="left"/>
      <protection/>
    </xf>
    <xf numFmtId="2" fontId="66" fillId="0" borderId="108" xfId="0" applyNumberFormat="1" applyFont="1" applyBorder="1" applyAlignment="1" applyProtection="1">
      <alignment horizontal="center"/>
      <protection/>
    </xf>
    <xf numFmtId="0" fontId="0" fillId="0" borderId="101" xfId="0" applyBorder="1" applyAlignment="1" applyProtection="1">
      <alignment/>
      <protection locked="0"/>
    </xf>
    <xf numFmtId="0" fontId="64" fillId="54" borderId="101" xfId="0" applyFont="1" applyFill="1" applyBorder="1" applyAlignment="1" applyProtection="1">
      <alignment/>
      <protection/>
    </xf>
    <xf numFmtId="0" fontId="22" fillId="50" borderId="101" xfId="0" applyFont="1" applyFill="1" applyBorder="1" applyAlignment="1" applyProtection="1">
      <alignment/>
      <protection/>
    </xf>
    <xf numFmtId="0" fontId="22" fillId="0" borderId="101" xfId="0" applyFont="1" applyFill="1" applyBorder="1" applyAlignment="1" applyProtection="1">
      <alignment/>
      <protection/>
    </xf>
    <xf numFmtId="2" fontId="22" fillId="19" borderId="10" xfId="0" applyNumberFormat="1" applyFont="1" applyFill="1" applyBorder="1" applyAlignment="1" applyProtection="1">
      <alignment horizontal="left"/>
      <protection/>
    </xf>
    <xf numFmtId="173" fontId="16" fillId="0" borderId="97" xfId="51" applyNumberFormat="1" applyFont="1" applyBorder="1" applyAlignment="1" applyProtection="1">
      <alignment horizontal="right"/>
      <protection locked="0"/>
    </xf>
    <xf numFmtId="2" fontId="4" fillId="0" borderId="98" xfId="0" applyNumberFormat="1" applyFont="1" applyBorder="1" applyAlignment="1" applyProtection="1">
      <alignment horizontal="right"/>
      <protection/>
    </xf>
    <xf numFmtId="0" fontId="4" fillId="0" borderId="101" xfId="0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right" vertical="center" wrapText="1"/>
      <protection/>
    </xf>
    <xf numFmtId="2" fontId="4" fillId="0" borderId="67" xfId="0" applyNumberFormat="1" applyFont="1" applyBorder="1" applyAlignment="1" applyProtection="1">
      <alignment/>
      <protection/>
    </xf>
    <xf numFmtId="0" fontId="22" fillId="51" borderId="10" xfId="0" applyFont="1" applyFill="1" applyBorder="1" applyAlignment="1" applyProtection="1">
      <alignment horizontal="left"/>
      <protection/>
    </xf>
    <xf numFmtId="0" fontId="147" fillId="0" borderId="10" xfId="0" applyFont="1" applyBorder="1" applyAlignment="1">
      <alignment/>
    </xf>
    <xf numFmtId="0" fontId="154" fillId="0" borderId="10" xfId="0" applyFont="1" applyBorder="1" applyAlignment="1">
      <alignment/>
    </xf>
    <xf numFmtId="9" fontId="22" fillId="0" borderId="10" xfId="0" applyNumberFormat="1" applyFont="1" applyBorder="1" applyAlignment="1" applyProtection="1">
      <alignment/>
      <protection/>
    </xf>
    <xf numFmtId="0" fontId="22" fillId="0" borderId="10" xfId="0" applyFont="1" applyFill="1" applyBorder="1" applyAlignment="1" applyProtection="1">
      <alignment/>
      <protection/>
    </xf>
    <xf numFmtId="9" fontId="22" fillId="0" borderId="10" xfId="55" applyNumberFormat="1" applyFont="1" applyFill="1" applyBorder="1" applyAlignment="1" applyProtection="1">
      <alignment/>
      <protection/>
    </xf>
    <xf numFmtId="10" fontId="143" fillId="0" borderId="10" xfId="55" applyNumberFormat="1" applyFont="1" applyFill="1" applyBorder="1" applyAlignment="1" applyProtection="1">
      <alignment/>
      <protection locked="0"/>
    </xf>
    <xf numFmtId="172" fontId="22" fillId="0" borderId="10" xfId="55" applyNumberFormat="1" applyFont="1" applyFill="1" applyBorder="1" applyAlignment="1" applyProtection="1">
      <alignment/>
      <protection/>
    </xf>
    <xf numFmtId="0" fontId="22" fillId="0" borderId="109" xfId="0" applyFont="1" applyBorder="1" applyAlignment="1" applyProtection="1">
      <alignment/>
      <protection/>
    </xf>
    <xf numFmtId="2" fontId="16" fillId="0" borderId="10" xfId="0" applyNumberFormat="1" applyFont="1" applyBorder="1" applyAlignment="1" applyProtection="1">
      <alignment horizontal="left"/>
      <protection locked="0"/>
    </xf>
    <xf numFmtId="2" fontId="22" fillId="0" borderId="10" xfId="0" applyNumberFormat="1" applyFont="1" applyBorder="1" applyAlignment="1" applyProtection="1">
      <alignment horizontal="right"/>
      <protection/>
    </xf>
    <xf numFmtId="9" fontId="22" fillId="0" borderId="14" xfId="0" applyNumberFormat="1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2" fontId="62" fillId="51" borderId="110" xfId="0" applyNumberFormat="1" applyFont="1" applyFill="1" applyBorder="1" applyAlignment="1" applyProtection="1">
      <alignment horizontal="left"/>
      <protection/>
    </xf>
    <xf numFmtId="0" fontId="148" fillId="0" borderId="71" xfId="0" applyFont="1" applyFill="1" applyBorder="1" applyAlignment="1" applyProtection="1">
      <alignment/>
      <protection/>
    </xf>
    <xf numFmtId="0" fontId="22" fillId="50" borderId="55" xfId="0" applyFont="1" applyFill="1" applyBorder="1" applyAlignment="1" applyProtection="1">
      <alignment/>
      <protection/>
    </xf>
    <xf numFmtId="0" fontId="22" fillId="50" borderId="57" xfId="0" applyFont="1" applyFill="1" applyBorder="1" applyAlignment="1" applyProtection="1">
      <alignment/>
      <protection/>
    </xf>
    <xf numFmtId="0" fontId="147" fillId="50" borderId="0" xfId="0" applyFont="1" applyFill="1" applyBorder="1" applyAlignment="1">
      <alignment/>
    </xf>
    <xf numFmtId="0" fontId="4" fillId="50" borderId="0" xfId="0" applyFont="1" applyFill="1" applyBorder="1" applyAlignment="1" applyProtection="1">
      <alignment/>
      <protection/>
    </xf>
    <xf numFmtId="9" fontId="22" fillId="50" borderId="57" xfId="0" applyNumberFormat="1" applyFont="1" applyFill="1" applyBorder="1" applyAlignment="1" applyProtection="1">
      <alignment/>
      <protection/>
    </xf>
    <xf numFmtId="0" fontId="22" fillId="50" borderId="51" xfId="0" applyFont="1" applyFill="1" applyBorder="1" applyAlignment="1" applyProtection="1">
      <alignment/>
      <protection/>
    </xf>
    <xf numFmtId="0" fontId="4" fillId="50" borderId="16" xfId="0" applyFont="1" applyFill="1" applyBorder="1" applyAlignment="1" applyProtection="1">
      <alignment/>
      <protection/>
    </xf>
    <xf numFmtId="172" fontId="4" fillId="50" borderId="0" xfId="0" applyNumberFormat="1" applyFont="1" applyFill="1" applyBorder="1" applyAlignment="1" applyProtection="1">
      <alignment/>
      <protection locked="0"/>
    </xf>
    <xf numFmtId="0" fontId="148" fillId="50" borderId="111" xfId="0" applyFont="1" applyFill="1" applyBorder="1" applyAlignment="1" applyProtection="1">
      <alignment/>
      <protection/>
    </xf>
    <xf numFmtId="0" fontId="148" fillId="50" borderId="112" xfId="0" applyFont="1" applyFill="1" applyBorder="1" applyAlignment="1" applyProtection="1">
      <alignment/>
      <protection/>
    </xf>
    <xf numFmtId="2" fontId="149" fillId="50" borderId="94" xfId="0" applyNumberFormat="1" applyFont="1" applyFill="1" applyBorder="1" applyAlignment="1" applyProtection="1">
      <alignment/>
      <protection/>
    </xf>
    <xf numFmtId="2" fontId="22" fillId="50" borderId="0" xfId="0" applyNumberFormat="1" applyFont="1" applyFill="1" applyBorder="1" applyAlignment="1" applyProtection="1">
      <alignment/>
      <protection/>
    </xf>
    <xf numFmtId="2" fontId="4" fillId="50" borderId="0" xfId="0" applyNumberFormat="1" applyFont="1" applyFill="1" applyBorder="1" applyAlignment="1" applyProtection="1">
      <alignment/>
      <protection/>
    </xf>
    <xf numFmtId="172" fontId="4" fillId="50" borderId="113" xfId="0" applyNumberFormat="1" applyFont="1" applyFill="1" applyBorder="1" applyAlignment="1" applyProtection="1">
      <alignment/>
      <protection/>
    </xf>
    <xf numFmtId="0" fontId="64" fillId="50" borderId="0" xfId="0" applyFont="1" applyFill="1" applyBorder="1" applyAlignment="1" applyProtection="1">
      <alignment/>
      <protection/>
    </xf>
    <xf numFmtId="0" fontId="16" fillId="50" borderId="0" xfId="0" applyFont="1" applyFill="1" applyBorder="1" applyAlignment="1" applyProtection="1">
      <alignment horizontal="center"/>
      <protection locked="0"/>
    </xf>
    <xf numFmtId="9" fontId="16" fillId="50" borderId="0" xfId="0" applyNumberFormat="1" applyFont="1" applyFill="1" applyBorder="1" applyAlignment="1" applyProtection="1">
      <alignment horizontal="center"/>
      <protection locked="0"/>
    </xf>
    <xf numFmtId="9" fontId="16" fillId="50" borderId="0" xfId="0" applyNumberFormat="1" applyFont="1" applyFill="1" applyBorder="1" applyAlignment="1" applyProtection="1">
      <alignment/>
      <protection locked="0"/>
    </xf>
    <xf numFmtId="1" fontId="4" fillId="50" borderId="0" xfId="0" applyNumberFormat="1" applyFont="1" applyFill="1" applyBorder="1" applyAlignment="1" applyProtection="1">
      <alignment/>
      <protection/>
    </xf>
    <xf numFmtId="0" fontId="0" fillId="50" borderId="0" xfId="0" applyFill="1" applyBorder="1" applyAlignment="1" applyProtection="1">
      <alignment/>
      <protection locked="0"/>
    </xf>
    <xf numFmtId="9" fontId="16" fillId="50" borderId="0" xfId="55" applyFont="1" applyFill="1" applyBorder="1" applyAlignment="1" applyProtection="1">
      <alignment horizontal="center"/>
      <protection locked="0"/>
    </xf>
    <xf numFmtId="0" fontId="10" fillId="57" borderId="48" xfId="0" applyFont="1" applyFill="1" applyBorder="1" applyAlignment="1">
      <alignment vertical="center" wrapText="1"/>
    </xf>
    <xf numFmtId="170" fontId="0" fillId="0" borderId="10" xfId="0" applyNumberFormat="1" applyFont="1" applyBorder="1" applyAlignment="1" applyProtection="1">
      <alignment/>
      <protection/>
    </xf>
    <xf numFmtId="9" fontId="0" fillId="0" borderId="10" xfId="0" applyNumberFormat="1" applyFont="1" applyBorder="1" applyAlignment="1" applyProtection="1">
      <alignment/>
      <protection/>
    </xf>
    <xf numFmtId="0" fontId="155" fillId="0" borderId="0" xfId="0" applyFont="1" applyFill="1" applyAlignment="1" applyProtection="1">
      <alignment/>
      <protection/>
    </xf>
    <xf numFmtId="0" fontId="144" fillId="0" borderId="71" xfId="0" applyFont="1" applyFill="1" applyBorder="1" applyAlignment="1" applyProtection="1">
      <alignment/>
      <protection locked="0"/>
    </xf>
    <xf numFmtId="0" fontId="144" fillId="0" borderId="71" xfId="0" applyFont="1" applyFill="1" applyBorder="1" applyAlignment="1" applyProtection="1">
      <alignment/>
      <protection/>
    </xf>
    <xf numFmtId="0" fontId="156" fillId="0" borderId="71" xfId="0" applyFont="1" applyFill="1" applyBorder="1" applyAlignment="1" applyProtection="1">
      <alignment/>
      <protection/>
    </xf>
    <xf numFmtId="9" fontId="16" fillId="37" borderId="0" xfId="55" applyFont="1" applyFill="1" applyBorder="1" applyAlignment="1" applyProtection="1">
      <alignment/>
      <protection locked="0"/>
    </xf>
    <xf numFmtId="9" fontId="16" fillId="37" borderId="71" xfId="55" applyFont="1" applyFill="1" applyBorder="1" applyAlignment="1" applyProtection="1">
      <alignment/>
      <protection locked="0"/>
    </xf>
    <xf numFmtId="0" fontId="157" fillId="58" borderId="10" xfId="0" applyFont="1" applyFill="1" applyBorder="1" applyAlignment="1" applyProtection="1">
      <alignment/>
      <protection/>
    </xf>
    <xf numFmtId="0" fontId="147" fillId="58" borderId="10" xfId="0" applyFont="1" applyFill="1" applyBorder="1" applyAlignment="1">
      <alignment/>
    </xf>
    <xf numFmtId="0" fontId="71" fillId="37" borderId="0" xfId="0" applyFont="1" applyFill="1" applyBorder="1" applyAlignment="1" applyProtection="1">
      <alignment/>
      <protection locked="0"/>
    </xf>
    <xf numFmtId="0" fontId="22" fillId="0" borderId="101" xfId="0" applyFont="1" applyBorder="1" applyAlignment="1" applyProtection="1">
      <alignment/>
      <protection/>
    </xf>
    <xf numFmtId="0" fontId="158" fillId="0" borderId="0" xfId="0" applyFont="1" applyAlignment="1">
      <alignment/>
    </xf>
    <xf numFmtId="0" fontId="158" fillId="59" borderId="0" xfId="0" applyFont="1" applyFill="1" applyAlignment="1">
      <alignment/>
    </xf>
    <xf numFmtId="0" fontId="155" fillId="58" borderId="1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2" fillId="0" borderId="51" xfId="0" applyFont="1" applyFill="1" applyBorder="1" applyAlignment="1" applyProtection="1">
      <alignment/>
      <protection/>
    </xf>
    <xf numFmtId="0" fontId="22" fillId="50" borderId="114" xfId="0" applyFont="1" applyFill="1" applyBorder="1" applyAlignment="1" applyProtection="1">
      <alignment/>
      <protection/>
    </xf>
    <xf numFmtId="0" fontId="22" fillId="50" borderId="23" xfId="0" applyFont="1" applyFill="1" applyBorder="1" applyAlignment="1" applyProtection="1">
      <alignment/>
      <protection/>
    </xf>
    <xf numFmtId="0" fontId="22" fillId="50" borderId="96" xfId="0" applyFont="1" applyFill="1" applyBorder="1" applyAlignment="1" applyProtection="1">
      <alignment/>
      <protection/>
    </xf>
    <xf numFmtId="49" fontId="22" fillId="50" borderId="96" xfId="0" applyNumberFormat="1" applyFont="1" applyFill="1" applyBorder="1" applyAlignment="1" applyProtection="1">
      <alignment horizontal="left"/>
      <protection/>
    </xf>
    <xf numFmtId="0" fontId="62" fillId="50" borderId="23" xfId="0" applyFont="1" applyFill="1" applyBorder="1" applyAlignment="1" applyProtection="1">
      <alignment/>
      <protection/>
    </xf>
    <xf numFmtId="0" fontId="22" fillId="50" borderId="10" xfId="0" applyFont="1" applyFill="1" applyBorder="1" applyAlignment="1" applyProtection="1">
      <alignment/>
      <protection/>
    </xf>
    <xf numFmtId="0" fontId="154" fillId="50" borderId="10" xfId="0" applyFont="1" applyFill="1" applyBorder="1" applyAlignment="1">
      <alignment/>
    </xf>
    <xf numFmtId="9" fontId="22" fillId="50" borderId="10" xfId="0" applyNumberFormat="1" applyFont="1" applyFill="1" applyBorder="1" applyAlignment="1" applyProtection="1">
      <alignment/>
      <protection/>
    </xf>
    <xf numFmtId="0" fontId="22" fillId="50" borderId="18" xfId="0" applyFont="1" applyFill="1" applyBorder="1" applyAlignment="1" applyProtection="1">
      <alignment/>
      <protection/>
    </xf>
    <xf numFmtId="9" fontId="16" fillId="50" borderId="0" xfId="55" applyFont="1" applyFill="1" applyBorder="1" applyAlignment="1" applyProtection="1">
      <alignment/>
      <protection locked="0"/>
    </xf>
    <xf numFmtId="0" fontId="22" fillId="50" borderId="56" xfId="0" applyFont="1" applyFill="1" applyBorder="1" applyAlignment="1" applyProtection="1">
      <alignment horizontal="left"/>
      <protection/>
    </xf>
    <xf numFmtId="0" fontId="147" fillId="50" borderId="56" xfId="0" applyFont="1" applyFill="1" applyBorder="1" applyAlignment="1">
      <alignment/>
    </xf>
    <xf numFmtId="0" fontId="4" fillId="50" borderId="22" xfId="0" applyFont="1" applyFill="1" applyBorder="1" applyAlignment="1" applyProtection="1">
      <alignment/>
      <protection/>
    </xf>
    <xf numFmtId="0" fontId="156" fillId="50" borderId="0" xfId="0" applyFont="1" applyFill="1" applyBorder="1" applyAlignment="1" applyProtection="1">
      <alignment/>
      <protection/>
    </xf>
    <xf numFmtId="0" fontId="154" fillId="50" borderId="0" xfId="0" applyFont="1" applyFill="1" applyBorder="1" applyAlignment="1">
      <alignment/>
    </xf>
    <xf numFmtId="9" fontId="22" fillId="50" borderId="96" xfId="0" applyNumberFormat="1" applyFont="1" applyFill="1" applyBorder="1" applyAlignment="1" applyProtection="1">
      <alignment/>
      <protection/>
    </xf>
    <xf numFmtId="0" fontId="148" fillId="50" borderId="0" xfId="0" applyFont="1" applyFill="1" applyBorder="1" applyAlignment="1" applyProtection="1">
      <alignment/>
      <protection/>
    </xf>
    <xf numFmtId="0" fontId="22" fillId="0" borderId="71" xfId="0" applyFont="1" applyBorder="1" applyAlignment="1" applyProtection="1">
      <alignment/>
      <protection/>
    </xf>
    <xf numFmtId="0" fontId="148" fillId="60" borderId="80" xfId="0" applyFont="1" applyFill="1" applyBorder="1" applyAlignment="1" applyProtection="1">
      <alignment/>
      <protection/>
    </xf>
    <xf numFmtId="2" fontId="148" fillId="60" borderId="102" xfId="0" applyNumberFormat="1" applyFont="1" applyFill="1" applyBorder="1" applyAlignment="1" applyProtection="1">
      <alignment/>
      <protection/>
    </xf>
    <xf numFmtId="0" fontId="148" fillId="60" borderId="81" xfId="0" applyFont="1" applyFill="1" applyBorder="1" applyAlignment="1" applyProtection="1">
      <alignment/>
      <protection/>
    </xf>
    <xf numFmtId="10" fontId="148" fillId="60" borderId="103" xfId="55" applyNumberFormat="1" applyFont="1" applyFill="1" applyBorder="1" applyAlignment="1" applyProtection="1">
      <alignment/>
      <protection/>
    </xf>
    <xf numFmtId="10" fontId="148" fillId="0" borderId="101" xfId="55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7" fillId="51" borderId="0" xfId="0" applyFont="1" applyFill="1" applyAlignment="1" applyProtection="1">
      <alignment/>
      <protection/>
    </xf>
    <xf numFmtId="0" fontId="22" fillId="0" borderId="115" xfId="0" applyFont="1" applyFill="1" applyBorder="1" applyAlignment="1" applyProtection="1">
      <alignment/>
      <protection/>
    </xf>
    <xf numFmtId="0" fontId="151" fillId="51" borderId="115" xfId="0" applyFont="1" applyFill="1" applyBorder="1" applyAlignment="1" applyProtection="1">
      <alignment horizontal="center" vertical="center"/>
      <protection/>
    </xf>
    <xf numFmtId="170" fontId="159" fillId="0" borderId="115" xfId="0" applyNumberFormat="1" applyFont="1" applyFill="1" applyBorder="1" applyAlignment="1" applyProtection="1">
      <alignment vertical="center"/>
      <protection/>
    </xf>
    <xf numFmtId="0" fontId="22" fillId="50" borderId="115" xfId="0" applyFont="1" applyFill="1" applyBorder="1" applyAlignment="1" applyProtection="1">
      <alignment/>
      <protection/>
    </xf>
    <xf numFmtId="2" fontId="0" fillId="0" borderId="115" xfId="0" applyNumberFormat="1" applyBorder="1" applyAlignment="1" applyProtection="1">
      <alignment/>
      <protection/>
    </xf>
    <xf numFmtId="0" fontId="155" fillId="0" borderId="115" xfId="0" applyFont="1" applyFill="1" applyBorder="1" applyAlignment="1" applyProtection="1">
      <alignment/>
      <protection/>
    </xf>
    <xf numFmtId="0" fontId="144" fillId="0" borderId="115" xfId="0" applyFont="1" applyFill="1" applyBorder="1" applyAlignment="1" applyProtection="1">
      <alignment/>
      <protection locked="0"/>
    </xf>
    <xf numFmtId="0" fontId="22" fillId="0" borderId="115" xfId="0" applyFont="1" applyBorder="1" applyAlignment="1" applyProtection="1">
      <alignment/>
      <protection/>
    </xf>
    <xf numFmtId="2" fontId="22" fillId="0" borderId="115" xfId="0" applyNumberFormat="1" applyFont="1" applyBorder="1" applyAlignment="1" applyProtection="1">
      <alignment horizontal="left"/>
      <protection/>
    </xf>
    <xf numFmtId="0" fontId="22" fillId="0" borderId="115" xfId="0" applyFont="1" applyFill="1" applyBorder="1" applyAlignment="1" applyProtection="1">
      <alignment horizontal="right"/>
      <protection/>
    </xf>
    <xf numFmtId="2" fontId="22" fillId="0" borderId="115" xfId="0" applyNumberFormat="1" applyFont="1" applyFill="1" applyBorder="1" applyAlignment="1" applyProtection="1">
      <alignment horizontal="left"/>
      <protection/>
    </xf>
    <xf numFmtId="0" fontId="22" fillId="51" borderId="115" xfId="0" applyFont="1" applyFill="1" applyBorder="1" applyAlignment="1" applyProtection="1">
      <alignment horizontal="right"/>
      <protection/>
    </xf>
    <xf numFmtId="49" fontId="22" fillId="51" borderId="115" xfId="0" applyNumberFormat="1" applyFont="1" applyFill="1" applyBorder="1" applyAlignment="1" applyProtection="1">
      <alignment horizontal="left"/>
      <protection/>
    </xf>
    <xf numFmtId="2" fontId="22" fillId="51" borderId="115" xfId="0" applyNumberFormat="1" applyFont="1" applyFill="1" applyBorder="1" applyAlignment="1" applyProtection="1">
      <alignment horizontal="left"/>
      <protection/>
    </xf>
    <xf numFmtId="49" fontId="22" fillId="50" borderId="115" xfId="0" applyNumberFormat="1" applyFont="1" applyFill="1" applyBorder="1" applyAlignment="1" applyProtection="1">
      <alignment horizontal="left"/>
      <protection/>
    </xf>
    <xf numFmtId="0" fontId="62" fillId="0" borderId="115" xfId="0" applyFont="1" applyBorder="1" applyAlignment="1" applyProtection="1">
      <alignment/>
      <protection/>
    </xf>
    <xf numFmtId="0" fontId="62" fillId="50" borderId="115" xfId="0" applyFont="1" applyFill="1" applyBorder="1" applyAlignment="1" applyProtection="1">
      <alignment/>
      <protection/>
    </xf>
    <xf numFmtId="0" fontId="147" fillId="0" borderId="115" xfId="0" applyFont="1" applyBorder="1" applyAlignment="1">
      <alignment/>
    </xf>
    <xf numFmtId="2" fontId="62" fillId="51" borderId="115" xfId="0" applyNumberFormat="1" applyFont="1" applyFill="1" applyBorder="1" applyAlignment="1" applyProtection="1">
      <alignment horizontal="left"/>
      <protection/>
    </xf>
    <xf numFmtId="0" fontId="147" fillId="50" borderId="115" xfId="0" applyFont="1" applyFill="1" applyBorder="1" applyAlignment="1">
      <alignment/>
    </xf>
    <xf numFmtId="2" fontId="16" fillId="0" borderId="115" xfId="0" applyNumberFormat="1" applyFont="1" applyBorder="1" applyAlignment="1" applyProtection="1">
      <alignment horizontal="left"/>
      <protection locked="0"/>
    </xf>
    <xf numFmtId="2" fontId="22" fillId="50" borderId="115" xfId="0" applyNumberFormat="1" applyFont="1" applyFill="1" applyBorder="1" applyAlignment="1" applyProtection="1">
      <alignment/>
      <protection/>
    </xf>
    <xf numFmtId="0" fontId="154" fillId="0" borderId="115" xfId="0" applyFont="1" applyBorder="1" applyAlignment="1">
      <alignment/>
    </xf>
    <xf numFmtId="2" fontId="4" fillId="0" borderId="115" xfId="0" applyNumberFormat="1" applyFont="1" applyBorder="1" applyAlignment="1" applyProtection="1">
      <alignment horizontal="center"/>
      <protection/>
    </xf>
    <xf numFmtId="0" fontId="154" fillId="50" borderId="115" xfId="0" applyFont="1" applyFill="1" applyBorder="1" applyAlignment="1">
      <alignment/>
    </xf>
    <xf numFmtId="0" fontId="4" fillId="50" borderId="115" xfId="0" applyFont="1" applyFill="1" applyBorder="1" applyAlignment="1" applyProtection="1">
      <alignment/>
      <protection/>
    </xf>
    <xf numFmtId="10" fontId="22" fillId="0" borderId="115" xfId="55" applyNumberFormat="1" applyFont="1" applyBorder="1" applyAlignment="1" applyProtection="1">
      <alignment/>
      <protection/>
    </xf>
    <xf numFmtId="9" fontId="22" fillId="0" borderId="115" xfId="0" applyNumberFormat="1" applyFont="1" applyBorder="1" applyAlignment="1" applyProtection="1">
      <alignment/>
      <protection/>
    </xf>
    <xf numFmtId="2" fontId="22" fillId="0" borderId="115" xfId="0" applyNumberFormat="1" applyFont="1" applyBorder="1" applyAlignment="1" applyProtection="1">
      <alignment horizontal="right"/>
      <protection/>
    </xf>
    <xf numFmtId="9" fontId="22" fillId="50" borderId="115" xfId="0" applyNumberFormat="1" applyFont="1" applyFill="1" applyBorder="1" applyAlignment="1" applyProtection="1">
      <alignment/>
      <protection/>
    </xf>
    <xf numFmtId="9" fontId="22" fillId="0" borderId="115" xfId="55" applyNumberFormat="1" applyFont="1" applyFill="1" applyBorder="1" applyAlignment="1" applyProtection="1">
      <alignment/>
      <protection/>
    </xf>
    <xf numFmtId="10" fontId="143" fillId="0" borderId="115" xfId="55" applyNumberFormat="1" applyFont="1" applyFill="1" applyBorder="1" applyAlignment="1" applyProtection="1">
      <alignment/>
      <protection locked="0"/>
    </xf>
    <xf numFmtId="172" fontId="22" fillId="0" borderId="115" xfId="55" applyNumberFormat="1" applyFont="1" applyFill="1" applyBorder="1" applyAlignment="1" applyProtection="1">
      <alignment/>
      <protection/>
    </xf>
    <xf numFmtId="2" fontId="16" fillId="0" borderId="115" xfId="0" applyNumberFormat="1" applyFont="1" applyBorder="1" applyAlignment="1" applyProtection="1">
      <alignment horizontal="right"/>
      <protection locked="0"/>
    </xf>
    <xf numFmtId="0" fontId="4" fillId="0" borderId="115" xfId="0" applyFont="1" applyBorder="1" applyAlignment="1" applyProtection="1">
      <alignment/>
      <protection/>
    </xf>
    <xf numFmtId="0" fontId="4" fillId="0" borderId="115" xfId="0" applyFont="1" applyFill="1" applyBorder="1" applyAlignment="1" applyProtection="1">
      <alignment/>
      <protection/>
    </xf>
    <xf numFmtId="2" fontId="4" fillId="0" borderId="115" xfId="0" applyNumberFormat="1" applyFont="1" applyBorder="1" applyAlignment="1" applyProtection="1">
      <alignment horizontal="left"/>
      <protection/>
    </xf>
    <xf numFmtId="0" fontId="22" fillId="0" borderId="115" xfId="0" applyFont="1" applyBorder="1" applyAlignment="1" applyProtection="1">
      <alignment horizontal="right"/>
      <protection/>
    </xf>
    <xf numFmtId="172" fontId="4" fillId="0" borderId="115" xfId="0" applyNumberFormat="1" applyFont="1" applyBorder="1" applyAlignment="1" applyProtection="1">
      <alignment/>
      <protection/>
    </xf>
    <xf numFmtId="172" fontId="4" fillId="50" borderId="115" xfId="0" applyNumberFormat="1" applyFont="1" applyFill="1" applyBorder="1" applyAlignment="1" applyProtection="1">
      <alignment/>
      <protection/>
    </xf>
    <xf numFmtId="172" fontId="4" fillId="0" borderId="115" xfId="0" applyNumberFormat="1" applyFont="1" applyBorder="1" applyAlignment="1" applyProtection="1">
      <alignment/>
      <protection locked="0"/>
    </xf>
    <xf numFmtId="2" fontId="27" fillId="0" borderId="115" xfId="0" applyNumberFormat="1" applyFont="1" applyBorder="1" applyAlignment="1" applyProtection="1">
      <alignment horizontal="center"/>
      <protection locked="0"/>
    </xf>
    <xf numFmtId="172" fontId="4" fillId="50" borderId="115" xfId="0" applyNumberFormat="1" applyFont="1" applyFill="1" applyBorder="1" applyAlignment="1" applyProtection="1">
      <alignment/>
      <protection locked="0"/>
    </xf>
    <xf numFmtId="0" fontId="22" fillId="0" borderId="115" xfId="0" applyFont="1" applyFill="1" applyBorder="1" applyAlignment="1" applyProtection="1">
      <alignment/>
      <protection locked="0"/>
    </xf>
    <xf numFmtId="0" fontId="148" fillId="55" borderId="115" xfId="0" applyFont="1" applyFill="1" applyBorder="1" applyAlignment="1" applyProtection="1">
      <alignment/>
      <protection/>
    </xf>
    <xf numFmtId="2" fontId="148" fillId="55" borderId="115" xfId="0" applyNumberFormat="1" applyFont="1" applyFill="1" applyBorder="1" applyAlignment="1" applyProtection="1">
      <alignment/>
      <protection/>
    </xf>
    <xf numFmtId="0" fontId="148" fillId="50" borderId="115" xfId="0" applyFont="1" applyFill="1" applyBorder="1" applyAlignment="1" applyProtection="1">
      <alignment/>
      <protection/>
    </xf>
    <xf numFmtId="10" fontId="22" fillId="0" borderId="115" xfId="55" applyNumberFormat="1" applyFont="1" applyFill="1" applyBorder="1" applyAlignment="1" applyProtection="1">
      <alignment/>
      <protection/>
    </xf>
    <xf numFmtId="10" fontId="148" fillId="55" borderId="115" xfId="55" applyNumberFormat="1" applyFont="1" applyFill="1" applyBorder="1" applyAlignment="1" applyProtection="1">
      <alignment/>
      <protection/>
    </xf>
    <xf numFmtId="0" fontId="148" fillId="60" borderId="115" xfId="0" applyFont="1" applyFill="1" applyBorder="1" applyAlignment="1" applyProtection="1">
      <alignment/>
      <protection/>
    </xf>
    <xf numFmtId="2" fontId="148" fillId="60" borderId="115" xfId="0" applyNumberFormat="1" applyFont="1" applyFill="1" applyBorder="1" applyAlignment="1" applyProtection="1">
      <alignment/>
      <protection/>
    </xf>
    <xf numFmtId="10" fontId="148" fillId="60" borderId="115" xfId="55" applyNumberFormat="1" applyFont="1" applyFill="1" applyBorder="1" applyAlignment="1" applyProtection="1">
      <alignment/>
      <protection/>
    </xf>
    <xf numFmtId="10" fontId="148" fillId="0" borderId="115" xfId="55" applyNumberFormat="1" applyFont="1" applyFill="1" applyBorder="1" applyAlignment="1" applyProtection="1">
      <alignment/>
      <protection/>
    </xf>
    <xf numFmtId="0" fontId="148" fillId="0" borderId="115" xfId="0" applyFont="1" applyFill="1" applyBorder="1" applyAlignment="1" applyProtection="1">
      <alignment/>
      <protection/>
    </xf>
    <xf numFmtId="172" fontId="148" fillId="60" borderId="115" xfId="55" applyNumberFormat="1" applyFont="1" applyFill="1" applyBorder="1" applyAlignment="1" applyProtection="1">
      <alignment/>
      <protection/>
    </xf>
    <xf numFmtId="0" fontId="0" fillId="0" borderId="115" xfId="0" applyBorder="1" applyAlignment="1" applyProtection="1">
      <alignment/>
      <protection/>
    </xf>
    <xf numFmtId="0" fontId="0" fillId="50" borderId="115" xfId="0" applyFill="1" applyBorder="1" applyAlignment="1" applyProtection="1">
      <alignment/>
      <protection/>
    </xf>
    <xf numFmtId="2" fontId="149" fillId="56" borderId="115" xfId="0" applyNumberFormat="1" applyFont="1" applyFill="1" applyBorder="1" applyAlignment="1" applyProtection="1">
      <alignment/>
      <protection/>
    </xf>
    <xf numFmtId="0" fontId="57" fillId="56" borderId="115" xfId="0" applyFont="1" applyFill="1" applyBorder="1" applyAlignment="1" applyProtection="1">
      <alignment/>
      <protection locked="0"/>
    </xf>
    <xf numFmtId="2" fontId="149" fillId="50" borderId="115" xfId="0" applyNumberFormat="1" applyFont="1" applyFill="1" applyBorder="1" applyAlignment="1" applyProtection="1">
      <alignment/>
      <protection/>
    </xf>
    <xf numFmtId="2" fontId="22" fillId="0" borderId="115" xfId="0" applyNumberFormat="1" applyFont="1" applyBorder="1" applyAlignment="1" applyProtection="1">
      <alignment/>
      <protection/>
    </xf>
    <xf numFmtId="2" fontId="4" fillId="0" borderId="115" xfId="0" applyNumberFormat="1" applyFont="1" applyBorder="1" applyAlignment="1" applyProtection="1">
      <alignment/>
      <protection/>
    </xf>
    <xf numFmtId="2" fontId="4" fillId="0" borderId="115" xfId="0" applyNumberFormat="1" applyFont="1" applyFill="1" applyBorder="1" applyAlignment="1" applyProtection="1">
      <alignment/>
      <protection/>
    </xf>
    <xf numFmtId="2" fontId="4" fillId="50" borderId="115" xfId="0" applyNumberFormat="1" applyFont="1" applyFill="1" applyBorder="1" applyAlignment="1" applyProtection="1">
      <alignment/>
      <protection/>
    </xf>
    <xf numFmtId="2" fontId="66" fillId="0" borderId="115" xfId="0" applyNumberFormat="1" applyFont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 locked="0"/>
    </xf>
    <xf numFmtId="170" fontId="159" fillId="0" borderId="115" xfId="0" applyNumberFormat="1" applyFont="1" applyFill="1" applyBorder="1" applyAlignment="1" applyProtection="1">
      <alignment horizontal="center" vertical="center"/>
      <protection/>
    </xf>
    <xf numFmtId="0" fontId="151" fillId="50" borderId="115" xfId="0" applyFont="1" applyFill="1" applyBorder="1" applyAlignment="1" applyProtection="1">
      <alignment horizontal="center" vertical="center"/>
      <protection/>
    </xf>
    <xf numFmtId="0" fontId="156" fillId="0" borderId="115" xfId="0" applyFont="1" applyFill="1" applyBorder="1" applyAlignment="1" applyProtection="1">
      <alignment/>
      <protection/>
    </xf>
    <xf numFmtId="0" fontId="156" fillId="50" borderId="115" xfId="0" applyFont="1" applyFill="1" applyBorder="1" applyAlignment="1" applyProtection="1">
      <alignment/>
      <protection/>
    </xf>
    <xf numFmtId="0" fontId="0" fillId="0" borderId="115" xfId="0" applyBorder="1" applyAlignment="1" applyProtection="1">
      <alignment/>
      <protection locked="0"/>
    </xf>
    <xf numFmtId="0" fontId="0" fillId="50" borderId="115" xfId="0" applyFill="1" applyBorder="1" applyAlignment="1" applyProtection="1">
      <alignment/>
      <protection locked="0"/>
    </xf>
    <xf numFmtId="2" fontId="22" fillId="19" borderId="115" xfId="0" applyNumberFormat="1" applyFont="1" applyFill="1" applyBorder="1" applyAlignment="1" applyProtection="1">
      <alignment horizontal="left"/>
      <protection/>
    </xf>
    <xf numFmtId="0" fontId="157" fillId="58" borderId="115" xfId="0" applyFont="1" applyFill="1" applyBorder="1" applyAlignment="1" applyProtection="1">
      <alignment/>
      <protection/>
    </xf>
    <xf numFmtId="0" fontId="155" fillId="58" borderId="115" xfId="0" applyFont="1" applyFill="1" applyBorder="1" applyAlignment="1" applyProtection="1">
      <alignment/>
      <protection locked="0"/>
    </xf>
    <xf numFmtId="0" fontId="147" fillId="58" borderId="115" xfId="0" applyFont="1" applyFill="1" applyBorder="1" applyAlignment="1">
      <alignment/>
    </xf>
    <xf numFmtId="173" fontId="16" fillId="0" borderId="115" xfId="51" applyNumberFormat="1" applyFont="1" applyBorder="1" applyAlignment="1" applyProtection="1">
      <alignment horizontal="right"/>
      <protection locked="0"/>
    </xf>
    <xf numFmtId="2" fontId="4" fillId="0" borderId="115" xfId="0" applyNumberFormat="1" applyFont="1" applyBorder="1" applyAlignment="1" applyProtection="1">
      <alignment horizontal="right"/>
      <protection/>
    </xf>
    <xf numFmtId="2" fontId="27" fillId="0" borderId="115" xfId="0" applyNumberFormat="1" applyFont="1" applyBorder="1" applyAlignment="1" applyProtection="1">
      <alignment horizontal="right"/>
      <protection locked="0"/>
    </xf>
    <xf numFmtId="0" fontId="22" fillId="0" borderId="115" xfId="0" applyFont="1" applyBorder="1" applyAlignment="1" applyProtection="1">
      <alignment/>
      <protection locked="0"/>
    </xf>
    <xf numFmtId="0" fontId="57" fillId="56" borderId="115" xfId="0" applyFont="1" applyFill="1" applyBorder="1" applyAlignment="1" applyProtection="1">
      <alignment/>
      <protection/>
    </xf>
    <xf numFmtId="1" fontId="4" fillId="0" borderId="115" xfId="0" applyNumberFormat="1" applyFont="1" applyBorder="1" applyAlignment="1" applyProtection="1">
      <alignment/>
      <protection/>
    </xf>
    <xf numFmtId="1" fontId="4" fillId="50" borderId="115" xfId="0" applyNumberFormat="1" applyFont="1" applyFill="1" applyBorder="1" applyAlignment="1" applyProtection="1">
      <alignment/>
      <protection/>
    </xf>
    <xf numFmtId="0" fontId="144" fillId="0" borderId="115" xfId="0" applyFont="1" applyFill="1" applyBorder="1" applyAlignment="1" applyProtection="1">
      <alignment/>
      <protection/>
    </xf>
    <xf numFmtId="0" fontId="22" fillId="51" borderId="115" xfId="0" applyFont="1" applyFill="1" applyBorder="1" applyAlignment="1" applyProtection="1">
      <alignment horizontal="left"/>
      <protection/>
    </xf>
    <xf numFmtId="0" fontId="22" fillId="50" borderId="115" xfId="0" applyFont="1" applyFill="1" applyBorder="1" applyAlignment="1" applyProtection="1">
      <alignment horizontal="left"/>
      <protection/>
    </xf>
    <xf numFmtId="1" fontId="16" fillId="0" borderId="115" xfId="0" applyNumberFormat="1" applyFont="1" applyBorder="1" applyAlignment="1" applyProtection="1">
      <alignment horizontal="right"/>
      <protection locked="0"/>
    </xf>
    <xf numFmtId="10" fontId="16" fillId="0" borderId="115" xfId="55" applyNumberFormat="1" applyFont="1" applyBorder="1" applyAlignment="1" applyProtection="1">
      <alignment horizontal="right"/>
      <protection locked="0"/>
    </xf>
    <xf numFmtId="10" fontId="143" fillId="0" borderId="115" xfId="55" applyNumberFormat="1" applyFont="1" applyFill="1" applyBorder="1" applyAlignment="1" applyProtection="1">
      <alignment/>
      <protection/>
    </xf>
    <xf numFmtId="0" fontId="72" fillId="39" borderId="0" xfId="0" applyFont="1" applyFill="1" applyAlignment="1" applyProtection="1">
      <alignment/>
      <protection/>
    </xf>
    <xf numFmtId="0" fontId="22" fillId="0" borderId="67" xfId="0" applyFont="1" applyBorder="1" applyAlignment="1" applyProtection="1">
      <alignment horizontal="right"/>
      <protection/>
    </xf>
    <xf numFmtId="0" fontId="22" fillId="0" borderId="116" xfId="0" applyFont="1" applyBorder="1" applyAlignment="1" applyProtection="1">
      <alignment/>
      <protection/>
    </xf>
    <xf numFmtId="0" fontId="4" fillId="0" borderId="117" xfId="0" applyFont="1" applyBorder="1" applyAlignment="1" applyProtection="1">
      <alignment/>
      <protection/>
    </xf>
    <xf numFmtId="172" fontId="67" fillId="0" borderId="117" xfId="0" applyNumberFormat="1" applyFont="1" applyBorder="1" applyAlignment="1" applyProtection="1">
      <alignment/>
      <protection/>
    </xf>
    <xf numFmtId="0" fontId="22" fillId="0" borderId="69" xfId="0" applyFont="1" applyFill="1" applyBorder="1" applyAlignment="1" applyProtection="1">
      <alignment/>
      <protection/>
    </xf>
    <xf numFmtId="0" fontId="22" fillId="0" borderId="67" xfId="0" applyFont="1" applyFill="1" applyBorder="1" applyAlignment="1" applyProtection="1">
      <alignment/>
      <protection/>
    </xf>
    <xf numFmtId="0" fontId="4" fillId="0" borderId="67" xfId="0" applyFont="1" applyFill="1" applyBorder="1" applyAlignment="1" applyProtection="1">
      <alignment/>
      <protection/>
    </xf>
    <xf numFmtId="0" fontId="4" fillId="0" borderId="76" xfId="0" applyFont="1" applyBorder="1" applyAlignment="1" applyProtection="1">
      <alignment/>
      <protection/>
    </xf>
    <xf numFmtId="0" fontId="22" fillId="0" borderId="12" xfId="0" applyFont="1" applyFill="1" applyBorder="1" applyAlignment="1" applyProtection="1">
      <alignment/>
      <protection/>
    </xf>
    <xf numFmtId="9" fontId="22" fillId="0" borderId="12" xfId="55" applyNumberFormat="1" applyFont="1" applyFill="1" applyBorder="1" applyAlignment="1" applyProtection="1">
      <alignment/>
      <protection/>
    </xf>
    <xf numFmtId="0" fontId="22" fillId="0" borderId="118" xfId="0" applyFont="1" applyFill="1" applyBorder="1" applyAlignment="1" applyProtection="1">
      <alignment/>
      <protection/>
    </xf>
    <xf numFmtId="0" fontId="22" fillId="0" borderId="48" xfId="0" applyFont="1" applyFill="1" applyBorder="1" applyAlignment="1" applyProtection="1">
      <alignment/>
      <protection/>
    </xf>
    <xf numFmtId="17" fontId="11" fillId="57" borderId="0" xfId="0" applyNumberFormat="1" applyFont="1" applyFill="1" applyBorder="1" applyAlignment="1">
      <alignment vertical="center" wrapText="1"/>
    </xf>
    <xf numFmtId="5" fontId="0" fillId="0" borderId="0" xfId="0" applyNumberFormat="1" applyBorder="1" applyAlignment="1" applyProtection="1">
      <alignment/>
      <protection/>
    </xf>
    <xf numFmtId="0" fontId="11" fillId="57" borderId="0" xfId="0" applyFont="1" applyFill="1" applyBorder="1" applyAlignment="1">
      <alignment vertical="center" wrapText="1"/>
    </xf>
    <xf numFmtId="9" fontId="0" fillId="0" borderId="0" xfId="55" applyNumberFormat="1" applyFont="1" applyBorder="1" applyAlignment="1" applyProtection="1">
      <alignment/>
      <protection/>
    </xf>
    <xf numFmtId="9" fontId="0" fillId="0" borderId="0" xfId="55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6" fillId="0" borderId="71" xfId="0" applyFont="1" applyFill="1" applyBorder="1" applyAlignment="1" applyProtection="1">
      <alignment horizontal="center"/>
      <protection locked="0"/>
    </xf>
    <xf numFmtId="0" fontId="22" fillId="0" borderId="119" xfId="0" applyFont="1" applyBorder="1" applyAlignment="1" applyProtection="1">
      <alignment/>
      <protection locked="0"/>
    </xf>
    <xf numFmtId="2" fontId="22" fillId="0" borderId="83" xfId="0" applyNumberFormat="1" applyFont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0" fontId="22" fillId="0" borderId="71" xfId="0" applyFont="1" applyBorder="1" applyAlignment="1" applyProtection="1">
      <alignment/>
      <protection locked="0"/>
    </xf>
    <xf numFmtId="171" fontId="22" fillId="50" borderId="0" xfId="49" applyFont="1" applyFill="1" applyAlignment="1" applyProtection="1">
      <alignment/>
      <protection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0" fontId="0" fillId="0" borderId="0" xfId="0" applyNumberFormat="1" applyAlignment="1" applyProtection="1">
      <alignment/>
      <protection/>
    </xf>
    <xf numFmtId="0" fontId="160" fillId="0" borderId="0" xfId="0" applyFont="1" applyBorder="1" applyAlignment="1">
      <alignment horizontal="right"/>
    </xf>
    <xf numFmtId="0" fontId="139" fillId="0" borderId="0" xfId="0" applyFont="1" applyBorder="1" applyAlignment="1">
      <alignment horizontal="right"/>
    </xf>
    <xf numFmtId="0" fontId="158" fillId="61" borderId="120" xfId="0" applyFont="1" applyFill="1" applyBorder="1" applyAlignment="1">
      <alignment horizontal="right"/>
    </xf>
    <xf numFmtId="0" fontId="161" fillId="61" borderId="121" xfId="0" applyFont="1" applyFill="1" applyBorder="1" applyAlignment="1">
      <alignment/>
    </xf>
    <xf numFmtId="0" fontId="158" fillId="61" borderId="121" xfId="0" applyFont="1" applyFill="1" applyBorder="1" applyAlignment="1">
      <alignment horizontal="right"/>
    </xf>
    <xf numFmtId="0" fontId="139" fillId="0" borderId="122" xfId="0" applyFont="1" applyBorder="1" applyAlignment="1">
      <alignment horizontal="right"/>
    </xf>
    <xf numFmtId="0" fontId="158" fillId="0" borderId="123" xfId="0" applyFont="1" applyBorder="1" applyAlignment="1">
      <alignment horizontal="right"/>
    </xf>
    <xf numFmtId="0" fontId="158" fillId="61" borderId="0" xfId="0" applyFont="1" applyFill="1" applyAlignment="1">
      <alignment/>
    </xf>
    <xf numFmtId="0" fontId="0" fillId="0" borderId="0" xfId="0" applyFont="1" applyAlignment="1">
      <alignment/>
    </xf>
    <xf numFmtId="0" fontId="138" fillId="0" borderId="0" xfId="0" applyFont="1" applyAlignment="1">
      <alignment/>
    </xf>
    <xf numFmtId="174" fontId="139" fillId="0" borderId="0" xfId="0" applyNumberFormat="1" applyFont="1" applyBorder="1" applyAlignment="1">
      <alignment horizontal="right"/>
    </xf>
    <xf numFmtId="174" fontId="160" fillId="0" borderId="0" xfId="0" applyNumberFormat="1" applyFont="1" applyBorder="1" applyAlignment="1">
      <alignment horizontal="right"/>
    </xf>
    <xf numFmtId="9" fontId="55" fillId="37" borderId="20" xfId="55" applyFont="1" applyFill="1" applyBorder="1" applyAlignment="1" applyProtection="1">
      <alignment/>
      <protection locked="0"/>
    </xf>
    <xf numFmtId="0" fontId="154" fillId="50" borderId="124" xfId="0" applyFont="1" applyFill="1" applyBorder="1" applyAlignment="1" applyProtection="1">
      <alignment horizontal="center" vertical="center"/>
      <protection/>
    </xf>
    <xf numFmtId="0" fontId="68" fillId="37" borderId="71" xfId="0" applyFont="1" applyFill="1" applyBorder="1" applyAlignment="1" applyProtection="1">
      <alignment/>
      <protection locked="0"/>
    </xf>
    <xf numFmtId="172" fontId="3" fillId="0" borderId="0" xfId="55" applyNumberFormat="1" applyFont="1" applyBorder="1" applyAlignment="1" applyProtection="1">
      <alignment horizontal="left"/>
      <protection locked="0"/>
    </xf>
    <xf numFmtId="195" fontId="143" fillId="0" borderId="47" xfId="0" applyNumberFormat="1" applyFont="1" applyBorder="1" applyAlignment="1" applyProtection="1">
      <alignment/>
      <protection locked="0"/>
    </xf>
    <xf numFmtId="0" fontId="0" fillId="0" borderId="118" xfId="0" applyBorder="1" applyAlignment="1" applyProtection="1">
      <alignment/>
      <protection locked="0"/>
    </xf>
    <xf numFmtId="0" fontId="158" fillId="0" borderId="0" xfId="0" applyFont="1" applyFill="1" applyBorder="1" applyAlignment="1" applyProtection="1">
      <alignment/>
      <protection/>
    </xf>
    <xf numFmtId="0" fontId="158" fillId="0" borderId="0" xfId="0" applyFont="1" applyFill="1" applyAlignment="1" applyProtection="1">
      <alignment/>
      <protection/>
    </xf>
    <xf numFmtId="0" fontId="136" fillId="0" borderId="0" xfId="0" applyFont="1" applyFill="1" applyBorder="1" applyAlignment="1" applyProtection="1">
      <alignment/>
      <protection/>
    </xf>
    <xf numFmtId="0" fontId="162" fillId="0" borderId="0" xfId="0" applyFont="1" applyFill="1" applyBorder="1" applyAlignment="1" applyProtection="1">
      <alignment/>
      <protection/>
    </xf>
    <xf numFmtId="0" fontId="162" fillId="0" borderId="71" xfId="0" applyFont="1" applyFill="1" applyBorder="1" applyAlignment="1" applyProtection="1">
      <alignment/>
      <protection/>
    </xf>
    <xf numFmtId="0" fontId="163" fillId="0" borderId="22" xfId="0" applyFont="1" applyFill="1" applyBorder="1" applyAlignment="1" applyProtection="1">
      <alignment horizontal="left" vertical="center" indent="1"/>
      <protection/>
    </xf>
    <xf numFmtId="10" fontId="11" fillId="0" borderId="125" xfId="0" applyNumberFormat="1" applyFont="1" applyFill="1" applyBorder="1" applyAlignment="1" applyProtection="1">
      <alignment/>
      <protection locked="0"/>
    </xf>
    <xf numFmtId="10" fontId="11" fillId="0" borderId="47" xfId="0" applyNumberFormat="1" applyFont="1" applyBorder="1" applyAlignment="1" applyProtection="1">
      <alignment/>
      <protection locked="0"/>
    </xf>
    <xf numFmtId="4" fontId="4" fillId="0" borderId="105" xfId="0" applyNumberFormat="1" applyFont="1" applyBorder="1" applyAlignment="1" applyProtection="1">
      <alignment horizontal="left"/>
      <protection/>
    </xf>
    <xf numFmtId="4" fontId="22" fillId="50" borderId="0" xfId="0" applyNumberFormat="1" applyFont="1" applyFill="1" applyBorder="1" applyAlignment="1" applyProtection="1">
      <alignment/>
      <protection/>
    </xf>
    <xf numFmtId="4" fontId="66" fillId="0" borderId="108" xfId="0" applyNumberFormat="1" applyFont="1" applyBorder="1" applyAlignment="1" applyProtection="1">
      <alignment horizontal="center"/>
      <protection/>
    </xf>
    <xf numFmtId="4" fontId="4" fillId="50" borderId="113" xfId="0" applyNumberFormat="1" applyFont="1" applyFill="1" applyBorder="1" applyAlignment="1" applyProtection="1">
      <alignment/>
      <protection/>
    </xf>
    <xf numFmtId="4" fontId="66" fillId="0" borderId="101" xfId="0" applyNumberFormat="1" applyFont="1" applyBorder="1" applyAlignment="1" applyProtection="1">
      <alignment horizontal="center"/>
      <protection locked="0"/>
    </xf>
    <xf numFmtId="4" fontId="67" fillId="50" borderId="0" xfId="0" applyNumberFormat="1" applyFont="1" applyFill="1" applyBorder="1" applyAlignment="1" applyProtection="1">
      <alignment/>
      <protection locked="0"/>
    </xf>
    <xf numFmtId="4" fontId="164" fillId="55" borderId="102" xfId="0" applyNumberFormat="1" applyFont="1" applyFill="1" applyBorder="1" applyAlignment="1" applyProtection="1">
      <alignment/>
      <protection/>
    </xf>
    <xf numFmtId="4" fontId="164" fillId="50" borderId="111" xfId="0" applyNumberFormat="1" applyFont="1" applyFill="1" applyBorder="1" applyAlignment="1" applyProtection="1">
      <alignment/>
      <protection/>
    </xf>
    <xf numFmtId="4" fontId="57" fillId="0" borderId="101" xfId="0" applyNumberFormat="1" applyFont="1" applyBorder="1" applyAlignment="1" applyProtection="1">
      <alignment/>
      <protection/>
    </xf>
    <xf numFmtId="4" fontId="57" fillId="50" borderId="0" xfId="0" applyNumberFormat="1" applyFont="1" applyFill="1" applyBorder="1" applyAlignment="1" applyProtection="1">
      <alignment/>
      <protection/>
    </xf>
    <xf numFmtId="4" fontId="164" fillId="60" borderId="102" xfId="0" applyNumberFormat="1" applyFont="1" applyFill="1" applyBorder="1" applyAlignment="1" applyProtection="1">
      <alignment/>
      <protection/>
    </xf>
    <xf numFmtId="4" fontId="66" fillId="0" borderId="101" xfId="0" applyNumberFormat="1" applyFont="1" applyBorder="1" applyAlignment="1" applyProtection="1">
      <alignment horizontal="right"/>
      <protection locked="0"/>
    </xf>
    <xf numFmtId="4" fontId="67" fillId="50" borderId="0" xfId="0" applyNumberFormat="1" applyFont="1" applyFill="1" applyBorder="1" applyAlignment="1" applyProtection="1">
      <alignment/>
      <protection/>
    </xf>
    <xf numFmtId="17" fontId="11" fillId="0" borderId="27" xfId="0" applyNumberFormat="1" applyFont="1" applyFill="1" applyBorder="1" applyAlignment="1" applyProtection="1">
      <alignment/>
      <protection locked="0"/>
    </xf>
    <xf numFmtId="195" fontId="11" fillId="0" borderId="125" xfId="0" applyNumberFormat="1" applyFont="1" applyFill="1" applyBorder="1" applyAlignment="1" applyProtection="1">
      <alignment/>
      <protection locked="0"/>
    </xf>
    <xf numFmtId="0" fontId="11" fillId="0" borderId="95" xfId="0" applyFont="1" applyFill="1" applyBorder="1" applyAlignment="1" applyProtection="1">
      <alignment/>
      <protection locked="0"/>
    </xf>
    <xf numFmtId="17" fontId="11" fillId="0" borderId="15" xfId="0" applyNumberFormat="1" applyFont="1" applyFill="1" applyBorder="1" applyAlignment="1" applyProtection="1">
      <alignment/>
      <protection locked="0"/>
    </xf>
    <xf numFmtId="195" fontId="11" fillId="0" borderId="10" xfId="0" applyNumberFormat="1" applyFont="1" applyFill="1" applyBorder="1" applyAlignment="1" applyProtection="1">
      <alignment/>
      <protection locked="0"/>
    </xf>
    <xf numFmtId="3" fontId="11" fillId="0" borderId="10" xfId="0" applyNumberFormat="1" applyFont="1" applyFill="1" applyBorder="1" applyAlignment="1" applyProtection="1">
      <alignment horizontal="center"/>
      <protection locked="0"/>
    </xf>
    <xf numFmtId="10" fontId="164" fillId="55" borderId="103" xfId="55" applyNumberFormat="1" applyFont="1" applyFill="1" applyBorder="1" applyAlignment="1" applyProtection="1">
      <alignment/>
      <protection/>
    </xf>
    <xf numFmtId="10" fontId="164" fillId="50" borderId="112" xfId="55" applyNumberFormat="1" applyFont="1" applyFill="1" applyBorder="1" applyAlignment="1" applyProtection="1">
      <alignment/>
      <protection/>
    </xf>
    <xf numFmtId="10" fontId="164" fillId="60" borderId="103" xfId="55" applyNumberFormat="1" applyFont="1" applyFill="1" applyBorder="1" applyAlignment="1" applyProtection="1">
      <alignment/>
      <protection/>
    </xf>
    <xf numFmtId="176" fontId="22" fillId="50" borderId="115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65" fillId="0" borderId="126" xfId="0" applyFont="1" applyFill="1" applyBorder="1" applyAlignment="1">
      <alignment vertical="center"/>
    </xf>
    <xf numFmtId="0" fontId="165" fillId="0" borderId="127" xfId="0" applyFont="1" applyFill="1" applyBorder="1" applyAlignment="1" applyProtection="1">
      <alignment/>
      <protection/>
    </xf>
    <xf numFmtId="0" fontId="158" fillId="0" borderId="127" xfId="0" applyFont="1" applyFill="1" applyBorder="1" applyAlignment="1" applyProtection="1">
      <alignment/>
      <protection/>
    </xf>
    <xf numFmtId="0" fontId="158" fillId="0" borderId="128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165" fillId="0" borderId="129" xfId="0" applyFont="1" applyFill="1" applyBorder="1" applyAlignment="1">
      <alignment vertical="center"/>
    </xf>
    <xf numFmtId="0" fontId="165" fillId="0" borderId="0" xfId="0" applyFont="1" applyFill="1" applyBorder="1" applyAlignment="1" applyProtection="1">
      <alignment/>
      <protection/>
    </xf>
    <xf numFmtId="0" fontId="158" fillId="0" borderId="130" xfId="0" applyFont="1" applyFill="1" applyBorder="1" applyAlignment="1" applyProtection="1">
      <alignment/>
      <protection/>
    </xf>
    <xf numFmtId="0" fontId="165" fillId="0" borderId="131" xfId="0" applyFont="1" applyFill="1" applyBorder="1" applyAlignment="1">
      <alignment vertical="center"/>
    </xf>
    <xf numFmtId="0" fontId="165" fillId="0" borderId="132" xfId="0" applyFont="1" applyFill="1" applyBorder="1" applyAlignment="1" applyProtection="1">
      <alignment/>
      <protection/>
    </xf>
    <xf numFmtId="0" fontId="158" fillId="0" borderId="132" xfId="0" applyFont="1" applyFill="1" applyBorder="1" applyAlignment="1" applyProtection="1">
      <alignment/>
      <protection/>
    </xf>
    <xf numFmtId="0" fontId="158" fillId="0" borderId="133" xfId="0" applyFont="1" applyFill="1" applyBorder="1" applyAlignment="1" applyProtection="1">
      <alignment/>
      <protection/>
    </xf>
    <xf numFmtId="10" fontId="22" fillId="0" borderId="23" xfId="55" applyNumberFormat="1" applyFont="1" applyBorder="1" applyAlignment="1" applyProtection="1">
      <alignment/>
      <protection/>
    </xf>
    <xf numFmtId="9" fontId="22" fillId="0" borderId="55" xfId="55" applyNumberFormat="1" applyFont="1" applyFill="1" applyBorder="1" applyAlignment="1" applyProtection="1">
      <alignment/>
      <protection/>
    </xf>
    <xf numFmtId="10" fontId="143" fillId="0" borderId="55" xfId="55" applyNumberFormat="1" applyFont="1" applyFill="1" applyBorder="1" applyAlignment="1" applyProtection="1">
      <alignment/>
      <protection locked="0"/>
    </xf>
    <xf numFmtId="172" fontId="22" fillId="0" borderId="55" xfId="55" applyNumberFormat="1" applyFont="1" applyFill="1" applyBorder="1" applyAlignment="1" applyProtection="1">
      <alignment/>
      <protection/>
    </xf>
    <xf numFmtId="2" fontId="149" fillId="56" borderId="10" xfId="0" applyNumberFormat="1" applyFont="1" applyFill="1" applyBorder="1" applyAlignment="1" applyProtection="1">
      <alignment/>
      <protection/>
    </xf>
    <xf numFmtId="0" fontId="57" fillId="56" borderId="10" xfId="0" applyFont="1" applyFill="1" applyBorder="1" applyAlignment="1" applyProtection="1">
      <alignment/>
      <protection/>
    </xf>
    <xf numFmtId="2" fontId="149" fillId="50" borderId="10" xfId="0" applyNumberFormat="1" applyFont="1" applyFill="1" applyBorder="1" applyAlignment="1" applyProtection="1">
      <alignment/>
      <protection/>
    </xf>
    <xf numFmtId="2" fontId="22" fillId="0" borderId="10" xfId="0" applyNumberFormat="1" applyFont="1" applyBorder="1" applyAlignment="1" applyProtection="1">
      <alignment/>
      <protection/>
    </xf>
    <xf numFmtId="2" fontId="22" fillId="50" borderId="10" xfId="0" applyNumberFormat="1" applyFont="1" applyFill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/>
      <protection/>
    </xf>
    <xf numFmtId="2" fontId="4" fillId="50" borderId="10" xfId="0" applyNumberFormat="1" applyFont="1" applyFill="1" applyBorder="1" applyAlignment="1" applyProtection="1">
      <alignment/>
      <protection/>
    </xf>
    <xf numFmtId="2" fontId="22" fillId="0" borderId="10" xfId="0" applyNumberFormat="1" applyFont="1" applyBorder="1" applyAlignment="1" applyProtection="1">
      <alignment/>
      <protection locked="0"/>
    </xf>
    <xf numFmtId="0" fontId="4" fillId="50" borderId="10" xfId="0" applyFont="1" applyFill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 horizontal="left"/>
      <protection/>
    </xf>
    <xf numFmtId="172" fontId="4" fillId="0" borderId="10" xfId="0" applyNumberFormat="1" applyFont="1" applyBorder="1" applyAlignment="1" applyProtection="1">
      <alignment/>
      <protection/>
    </xf>
    <xf numFmtId="2" fontId="66" fillId="0" borderId="10" xfId="0" applyNumberFormat="1" applyFont="1" applyBorder="1" applyAlignment="1" applyProtection="1">
      <alignment horizontal="center"/>
      <protection/>
    </xf>
    <xf numFmtId="172" fontId="4" fillId="50" borderId="10" xfId="0" applyNumberFormat="1" applyFont="1" applyFill="1" applyBorder="1" applyAlignment="1" applyProtection="1">
      <alignment/>
      <protection/>
    </xf>
    <xf numFmtId="170" fontId="159" fillId="0" borderId="134" xfId="0" applyNumberFormat="1" applyFont="1" applyFill="1" applyBorder="1" applyAlignment="1" applyProtection="1">
      <alignment horizontal="center" vertical="center"/>
      <protection/>
    </xf>
    <xf numFmtId="0" fontId="166" fillId="50" borderId="124" xfId="0" applyFont="1" applyFill="1" applyBorder="1" applyAlignment="1" applyProtection="1">
      <alignment horizontal="center" vertical="center"/>
      <protection/>
    </xf>
    <xf numFmtId="1" fontId="167" fillId="0" borderId="120" xfId="0" applyNumberFormat="1" applyFont="1" applyBorder="1" applyAlignment="1">
      <alignment horizontal="right"/>
    </xf>
    <xf numFmtId="1" fontId="167" fillId="0" borderId="121" xfId="0" applyNumberFormat="1" applyFont="1" applyBorder="1" applyAlignment="1">
      <alignment horizontal="right"/>
    </xf>
    <xf numFmtId="175" fontId="158" fillId="0" borderId="0" xfId="0" applyNumberFormat="1" applyFont="1" applyAlignment="1">
      <alignment/>
    </xf>
    <xf numFmtId="172" fontId="67" fillId="50" borderId="115" xfId="0" applyNumberFormat="1" applyFont="1" applyFill="1" applyBorder="1" applyAlignment="1" applyProtection="1">
      <alignment/>
      <protection/>
    </xf>
    <xf numFmtId="172" fontId="77" fillId="50" borderId="115" xfId="0" applyNumberFormat="1" applyFont="1" applyFill="1" applyBorder="1" applyAlignment="1" applyProtection="1">
      <alignment/>
      <protection/>
    </xf>
    <xf numFmtId="2" fontId="74" fillId="0" borderId="115" xfId="0" applyNumberFormat="1" applyFont="1" applyBorder="1" applyAlignment="1" applyProtection="1">
      <alignment horizontal="right"/>
      <protection/>
    </xf>
    <xf numFmtId="176" fontId="6" fillId="50" borderId="115" xfId="0" applyNumberFormat="1" applyFont="1" applyFill="1" applyBorder="1" applyAlignment="1" applyProtection="1">
      <alignment/>
      <protection/>
    </xf>
    <xf numFmtId="10" fontId="11" fillId="0" borderId="51" xfId="55" applyNumberFormat="1" applyFont="1" applyFill="1" applyBorder="1" applyAlignment="1" applyProtection="1">
      <alignment horizontal="center"/>
      <protection locked="0"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10" fontId="11" fillId="0" borderId="0" xfId="55" applyNumberFormat="1" applyFont="1" applyFill="1" applyBorder="1" applyAlignment="1" applyProtection="1">
      <alignment horizontal="center"/>
      <protection locked="0"/>
    </xf>
    <xf numFmtId="4" fontId="75" fillId="0" borderId="98" xfId="0" applyNumberFormat="1" applyFont="1" applyBorder="1" applyAlignment="1" applyProtection="1">
      <alignment horizontal="center"/>
      <protection/>
    </xf>
    <xf numFmtId="4" fontId="78" fillId="50" borderId="16" xfId="0" applyNumberFormat="1" applyFont="1" applyFill="1" applyBorder="1" applyAlignment="1" applyProtection="1">
      <alignment/>
      <protection/>
    </xf>
    <xf numFmtId="4" fontId="75" fillId="0" borderId="98" xfId="0" applyNumberFormat="1" applyFont="1" applyBorder="1" applyAlignment="1" applyProtection="1">
      <alignment horizontal="right"/>
      <protection/>
    </xf>
    <xf numFmtId="195" fontId="11" fillId="0" borderId="10" xfId="0" applyNumberFormat="1" applyFont="1" applyFill="1" applyBorder="1" applyAlignment="1" applyProtection="1">
      <alignment horizontal="center"/>
      <protection locked="0"/>
    </xf>
    <xf numFmtId="9" fontId="55" fillId="37" borderId="0" xfId="55" applyFont="1" applyFill="1" applyBorder="1" applyAlignment="1" applyProtection="1">
      <alignment/>
      <protection locked="0"/>
    </xf>
    <xf numFmtId="9" fontId="16" fillId="37" borderId="71" xfId="0" applyNumberFormat="1" applyFont="1" applyFill="1" applyBorder="1" applyAlignment="1" applyProtection="1">
      <alignment/>
      <protection locked="0"/>
    </xf>
    <xf numFmtId="17" fontId="11" fillId="0" borderId="10" xfId="0" applyNumberFormat="1" applyFont="1" applyFill="1" applyBorder="1" applyAlignment="1" applyProtection="1">
      <alignment/>
      <protection locked="0"/>
    </xf>
    <xf numFmtId="0" fontId="165" fillId="0" borderId="0" xfId="0" applyFont="1" applyFill="1" applyBorder="1" applyAlignment="1">
      <alignment vertical="center"/>
    </xf>
    <xf numFmtId="2" fontId="136" fillId="0" borderId="0" xfId="0" applyNumberFormat="1" applyFont="1" applyAlignment="1" applyProtection="1">
      <alignment/>
      <protection locked="0"/>
    </xf>
    <xf numFmtId="2" fontId="165" fillId="0" borderId="0" xfId="0" applyNumberFormat="1" applyFont="1" applyAlignment="1">
      <alignment/>
    </xf>
    <xf numFmtId="2" fontId="158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79" fillId="0" borderId="0" xfId="0" applyFont="1" applyFill="1" applyBorder="1" applyAlignment="1" applyProtection="1">
      <alignment horizontal="left"/>
      <protection/>
    </xf>
    <xf numFmtId="172" fontId="11" fillId="0" borderId="38" xfId="55" applyNumberFormat="1" applyFont="1" applyFill="1" applyBorder="1" applyAlignment="1" applyProtection="1">
      <alignment horizontal="center"/>
      <protection locked="0"/>
    </xf>
    <xf numFmtId="170" fontId="159" fillId="0" borderId="135" xfId="0" applyNumberFormat="1" applyFont="1" applyFill="1" applyBorder="1" applyAlignment="1" applyProtection="1">
      <alignment vertical="center"/>
      <protection/>
    </xf>
    <xf numFmtId="0" fontId="166" fillId="51" borderId="136" xfId="0" applyFont="1" applyFill="1" applyBorder="1" applyAlignment="1" applyProtection="1">
      <alignment horizontal="center" vertical="center"/>
      <protection/>
    </xf>
    <xf numFmtId="0" fontId="0" fillId="15" borderId="0" xfId="0" applyFill="1" applyBorder="1" applyAlignment="1" applyProtection="1">
      <alignment/>
      <protection/>
    </xf>
    <xf numFmtId="2" fontId="14" fillId="15" borderId="0" xfId="0" applyNumberFormat="1" applyFont="1" applyFill="1" applyBorder="1" applyAlignment="1" applyProtection="1">
      <alignment horizontal="right"/>
      <protection/>
    </xf>
    <xf numFmtId="0" fontId="0" fillId="15" borderId="0" xfId="0" applyFill="1" applyAlignment="1" applyProtection="1">
      <alignment/>
      <protection/>
    </xf>
    <xf numFmtId="10" fontId="0" fillId="15" borderId="0" xfId="55" applyNumberFormat="1" applyFont="1" applyFill="1" applyAlignment="1" applyProtection="1">
      <alignment/>
      <protection/>
    </xf>
    <xf numFmtId="0" fontId="23" fillId="15" borderId="0" xfId="0" applyFont="1" applyFill="1" applyBorder="1" applyAlignment="1" applyProtection="1">
      <alignment/>
      <protection/>
    </xf>
    <xf numFmtId="17" fontId="67" fillId="62" borderId="0" xfId="55" applyNumberFormat="1" applyFont="1" applyFill="1" applyBorder="1" applyAlignment="1" applyProtection="1" quotePrefix="1">
      <alignment horizontal="center"/>
      <protection/>
    </xf>
    <xf numFmtId="172" fontId="17" fillId="62" borderId="0" xfId="55" applyNumberFormat="1" applyFont="1" applyFill="1" applyBorder="1" applyAlignment="1" applyProtection="1">
      <alignment horizontal="left"/>
      <protection/>
    </xf>
    <xf numFmtId="175" fontId="158" fillId="0" borderId="0" xfId="55" applyNumberFormat="1" applyFont="1" applyAlignment="1">
      <alignment/>
    </xf>
    <xf numFmtId="175" fontId="158" fillId="0" borderId="0" xfId="0" applyNumberFormat="1" applyFont="1" applyAlignment="1">
      <alignment horizontal="right"/>
    </xf>
    <xf numFmtId="2" fontId="22" fillId="0" borderId="95" xfId="55" applyNumberFormat="1" applyFont="1" applyBorder="1" applyAlignment="1" applyProtection="1">
      <alignment horizontal="left"/>
      <protection/>
    </xf>
    <xf numFmtId="0" fontId="151" fillId="51" borderId="137" xfId="0" applyFont="1" applyFill="1" applyBorder="1" applyAlignment="1" applyProtection="1">
      <alignment horizontal="center" vertical="center"/>
      <protection/>
    </xf>
    <xf numFmtId="177" fontId="0" fillId="0" borderId="0" xfId="0" applyNumberFormat="1" applyAlignment="1" applyProtection="1">
      <alignment/>
      <protection/>
    </xf>
    <xf numFmtId="0" fontId="64" fillId="54" borderId="0" xfId="0" applyFont="1" applyFill="1" applyBorder="1" applyAlignment="1" applyProtection="1">
      <alignment/>
      <protection/>
    </xf>
    <xf numFmtId="2" fontId="168" fillId="63" borderId="0" xfId="0" applyNumberFormat="1" applyFont="1" applyFill="1" applyAlignment="1">
      <alignment/>
    </xf>
    <xf numFmtId="2" fontId="169" fillId="63" borderId="0" xfId="0" applyNumberFormat="1" applyFont="1" applyFill="1" applyAlignment="1">
      <alignment/>
    </xf>
    <xf numFmtId="17" fontId="11" fillId="0" borderId="0" xfId="0" applyNumberFormat="1" applyFont="1" applyFill="1" applyBorder="1" applyAlignment="1" applyProtection="1">
      <alignment/>
      <protection locked="0"/>
    </xf>
    <xf numFmtId="195" fontId="11" fillId="0" borderId="0" xfId="0" applyNumberFormat="1" applyFont="1" applyFill="1" applyBorder="1" applyAlignment="1" applyProtection="1">
      <alignment/>
      <protection locked="0"/>
    </xf>
    <xf numFmtId="172" fontId="11" fillId="0" borderId="0" xfId="55" applyNumberFormat="1" applyFont="1" applyFill="1" applyBorder="1" applyAlignment="1" applyProtection="1">
      <alignment horizontal="center"/>
      <protection locked="0"/>
    </xf>
    <xf numFmtId="195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/>
    </xf>
    <xf numFmtId="178" fontId="158" fillId="0" borderId="0" xfId="0" applyNumberFormat="1" applyFont="1" applyAlignment="1">
      <alignment horizontal="right"/>
    </xf>
    <xf numFmtId="2" fontId="158" fillId="15" borderId="0" xfId="0" applyNumberFormat="1" applyFont="1" applyFill="1" applyAlignment="1">
      <alignment horizontal="right"/>
    </xf>
    <xf numFmtId="0" fontId="148" fillId="0" borderId="0" xfId="0" applyFont="1" applyFill="1" applyBorder="1" applyAlignment="1" applyProtection="1">
      <alignment/>
      <protection/>
    </xf>
    <xf numFmtId="172" fontId="148" fillId="55" borderId="115" xfId="55" applyNumberFormat="1" applyFont="1" applyFill="1" applyBorder="1" applyAlignment="1" applyProtection="1">
      <alignment/>
      <protection/>
    </xf>
    <xf numFmtId="172" fontId="67" fillId="0" borderId="71" xfId="0" applyNumberFormat="1" applyFont="1" applyBorder="1" applyAlignment="1" applyProtection="1">
      <alignment/>
      <protection/>
    </xf>
    <xf numFmtId="4" fontId="75" fillId="0" borderId="0" xfId="0" applyNumberFormat="1" applyFont="1" applyBorder="1" applyAlignment="1" applyProtection="1">
      <alignment horizontal="right"/>
      <protection/>
    </xf>
    <xf numFmtId="4" fontId="78" fillId="50" borderId="0" xfId="0" applyNumberFormat="1" applyFont="1" applyFill="1" applyBorder="1" applyAlignment="1" applyProtection="1">
      <alignment/>
      <protection/>
    </xf>
    <xf numFmtId="0" fontId="22" fillId="13" borderId="115" xfId="0" applyFont="1" applyFill="1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154" fillId="0" borderId="96" xfId="0" applyFont="1" applyBorder="1" applyAlignment="1">
      <alignment/>
    </xf>
    <xf numFmtId="4" fontId="75" fillId="0" borderId="101" xfId="0" applyNumberFormat="1" applyFont="1" applyBorder="1" applyAlignment="1" applyProtection="1">
      <alignment horizontal="right"/>
      <protection/>
    </xf>
    <xf numFmtId="0" fontId="154" fillId="0" borderId="14" xfId="0" applyFont="1" applyBorder="1" applyAlignment="1">
      <alignment/>
    </xf>
    <xf numFmtId="2" fontId="4" fillId="0" borderId="57" xfId="0" applyNumberFormat="1" applyFont="1" applyBorder="1" applyAlignment="1" applyProtection="1">
      <alignment/>
      <protection/>
    </xf>
    <xf numFmtId="0" fontId="154" fillId="50" borderId="57" xfId="0" applyFont="1" applyFill="1" applyBorder="1" applyAlignment="1">
      <alignment/>
    </xf>
    <xf numFmtId="2" fontId="22" fillId="0" borderId="10" xfId="0" applyNumberFormat="1" applyFont="1" applyBorder="1" applyAlignment="1" applyProtection="1">
      <alignment horizontal="center"/>
      <protection/>
    </xf>
    <xf numFmtId="2" fontId="80" fillId="0" borderId="115" xfId="0" applyNumberFormat="1" applyFont="1" applyBorder="1" applyAlignment="1" applyProtection="1">
      <alignment horizontal="center"/>
      <protection/>
    </xf>
    <xf numFmtId="4" fontId="76" fillId="0" borderId="115" xfId="0" applyNumberFormat="1" applyFont="1" applyBorder="1" applyAlignment="1" applyProtection="1">
      <alignment horizontal="center"/>
      <protection/>
    </xf>
    <xf numFmtId="4" fontId="77" fillId="50" borderId="115" xfId="0" applyNumberFormat="1" applyFont="1" applyFill="1" applyBorder="1" applyAlignment="1" applyProtection="1">
      <alignment/>
      <protection/>
    </xf>
    <xf numFmtId="4" fontId="66" fillId="0" borderId="115" xfId="0" applyNumberFormat="1" applyFont="1" applyBorder="1" applyAlignment="1" applyProtection="1">
      <alignment horizontal="center"/>
      <protection locked="0"/>
    </xf>
    <xf numFmtId="4" fontId="4" fillId="50" borderId="115" xfId="0" applyNumberFormat="1" applyFont="1" applyFill="1" applyBorder="1" applyAlignment="1" applyProtection="1">
      <alignment/>
      <protection locked="0"/>
    </xf>
    <xf numFmtId="4" fontId="27" fillId="0" borderId="115" xfId="0" applyNumberFormat="1" applyFont="1" applyBorder="1" applyAlignment="1" applyProtection="1">
      <alignment horizontal="center"/>
      <protection locked="0"/>
    </xf>
    <xf numFmtId="4" fontId="22" fillId="13" borderId="115" xfId="0" applyNumberFormat="1" applyFont="1" applyFill="1" applyBorder="1" applyAlignment="1" applyProtection="1">
      <alignment/>
      <protection/>
    </xf>
    <xf numFmtId="9" fontId="22" fillId="13" borderId="115" xfId="55" applyFont="1" applyFill="1" applyBorder="1" applyAlignment="1" applyProtection="1">
      <alignment/>
      <protection/>
    </xf>
    <xf numFmtId="0" fontId="22" fillId="13" borderId="71" xfId="0" applyFont="1" applyFill="1" applyBorder="1" applyAlignment="1" applyProtection="1">
      <alignment/>
      <protection/>
    </xf>
    <xf numFmtId="4" fontId="67" fillId="13" borderId="102" xfId="0" applyNumberFormat="1" applyFont="1" applyFill="1" applyBorder="1" applyAlignment="1" applyProtection="1">
      <alignment/>
      <protection/>
    </xf>
    <xf numFmtId="172" fontId="67" fillId="13" borderId="102" xfId="55" applyNumberFormat="1" applyFont="1" applyFill="1" applyBorder="1" applyAlignment="1" applyProtection="1">
      <alignment/>
      <protection/>
    </xf>
    <xf numFmtId="172" fontId="164" fillId="60" borderId="103" xfId="55" applyNumberFormat="1" applyFont="1" applyFill="1" applyBorder="1" applyAlignment="1" applyProtection="1">
      <alignment/>
      <protection/>
    </xf>
    <xf numFmtId="172" fontId="164" fillId="55" borderId="103" xfId="55" applyNumberFormat="1" applyFont="1" applyFill="1" applyBorder="1" applyAlignment="1" applyProtection="1">
      <alignment/>
      <protection/>
    </xf>
    <xf numFmtId="2" fontId="22" fillId="0" borderId="10" xfId="0" applyNumberFormat="1" applyFont="1" applyBorder="1" applyAlignment="1" applyProtection="1">
      <alignment horizontal="left"/>
      <protection/>
    </xf>
    <xf numFmtId="4" fontId="4" fillId="0" borderId="10" xfId="0" applyNumberFormat="1" applyFont="1" applyBorder="1" applyAlignment="1" applyProtection="1">
      <alignment/>
      <protection/>
    </xf>
    <xf numFmtId="4" fontId="154" fillId="50" borderId="10" xfId="0" applyNumberFormat="1" applyFont="1" applyFill="1" applyBorder="1" applyAlignment="1">
      <alignment/>
    </xf>
    <xf numFmtId="10" fontId="67" fillId="13" borderId="103" xfId="55" applyNumberFormat="1" applyFont="1" applyFill="1" applyBorder="1" applyAlignment="1" applyProtection="1">
      <alignment/>
      <protection/>
    </xf>
    <xf numFmtId="0" fontId="155" fillId="0" borderId="10" xfId="0" applyFont="1" applyFill="1" applyBorder="1" applyAlignment="1" applyProtection="1">
      <alignment/>
      <protection locked="0"/>
    </xf>
    <xf numFmtId="0" fontId="143" fillId="0" borderId="115" xfId="0" applyFont="1" applyBorder="1" applyAlignment="1" applyProtection="1">
      <alignment/>
      <protection/>
    </xf>
    <xf numFmtId="4" fontId="66" fillId="0" borderId="115" xfId="0" applyNumberFormat="1" applyFont="1" applyBorder="1" applyAlignment="1" applyProtection="1">
      <alignment horizontal="right"/>
      <protection/>
    </xf>
    <xf numFmtId="4" fontId="67" fillId="50" borderId="115" xfId="0" applyNumberFormat="1" applyFont="1" applyFill="1" applyBorder="1" applyAlignment="1" applyProtection="1">
      <alignment/>
      <protection/>
    </xf>
    <xf numFmtId="172" fontId="4" fillId="13" borderId="115" xfId="55" applyNumberFormat="1" applyFont="1" applyFill="1" applyBorder="1" applyAlignment="1" applyProtection="1">
      <alignment/>
      <protection/>
    </xf>
    <xf numFmtId="4" fontId="148" fillId="55" borderId="115" xfId="0" applyNumberFormat="1" applyFont="1" applyFill="1" applyBorder="1" applyAlignment="1" applyProtection="1">
      <alignment/>
      <protection/>
    </xf>
    <xf numFmtId="4" fontId="4" fillId="13" borderId="115" xfId="0" applyNumberFormat="1" applyFont="1" applyFill="1" applyBorder="1" applyAlignment="1" applyProtection="1">
      <alignment/>
      <protection/>
    </xf>
    <xf numFmtId="2" fontId="11" fillId="0" borderId="67" xfId="0" applyNumberFormat="1" applyFont="1" applyBorder="1" applyAlignment="1" applyProtection="1">
      <alignment horizontal="left"/>
      <protection/>
    </xf>
    <xf numFmtId="0" fontId="143" fillId="0" borderId="64" xfId="0" applyFont="1" applyBorder="1" applyAlignment="1" applyProtection="1">
      <alignment/>
      <protection locked="0"/>
    </xf>
    <xf numFmtId="2" fontId="22" fillId="13" borderId="115" xfId="0" applyNumberFormat="1" applyFont="1" applyFill="1" applyBorder="1" applyAlignment="1" applyProtection="1">
      <alignment/>
      <protection/>
    </xf>
    <xf numFmtId="172" fontId="22" fillId="13" borderId="115" xfId="55" applyNumberFormat="1" applyFont="1" applyFill="1" applyBorder="1" applyAlignment="1" applyProtection="1">
      <alignment/>
      <protection/>
    </xf>
    <xf numFmtId="2" fontId="4" fillId="13" borderId="102" xfId="0" applyNumberFormat="1" applyFont="1" applyFill="1" applyBorder="1" applyAlignment="1" applyProtection="1">
      <alignment/>
      <protection/>
    </xf>
    <xf numFmtId="10" fontId="4" fillId="13" borderId="103" xfId="55" applyNumberFormat="1" applyFont="1" applyFill="1" applyBorder="1" applyAlignment="1" applyProtection="1">
      <alignment/>
      <protection/>
    </xf>
    <xf numFmtId="0" fontId="4" fillId="13" borderId="80" xfId="0" applyFont="1" applyFill="1" applyBorder="1" applyAlignment="1" applyProtection="1">
      <alignment/>
      <protection/>
    </xf>
    <xf numFmtId="0" fontId="4" fillId="13" borderId="81" xfId="0" applyFont="1" applyFill="1" applyBorder="1" applyAlignment="1" applyProtection="1">
      <alignment/>
      <protection/>
    </xf>
    <xf numFmtId="2" fontId="170" fillId="0" borderId="0" xfId="0" applyNumberFormat="1" applyFont="1" applyAlignment="1">
      <alignment/>
    </xf>
    <xf numFmtId="2" fontId="171" fillId="63" borderId="0" xfId="0" applyNumberFormat="1" applyFont="1" applyFill="1" applyAlignment="1">
      <alignment vertical="center"/>
    </xf>
    <xf numFmtId="0" fontId="151" fillId="51" borderId="0" xfId="0" applyFont="1" applyFill="1" applyBorder="1" applyAlignment="1" applyProtection="1">
      <alignment horizontal="center" vertical="center"/>
      <protection/>
    </xf>
    <xf numFmtId="170" fontId="159" fillId="0" borderId="0" xfId="0" applyNumberFormat="1" applyFont="1" applyFill="1" applyBorder="1" applyAlignment="1" applyProtection="1">
      <alignment vertical="center"/>
      <protection/>
    </xf>
    <xf numFmtId="0" fontId="166" fillId="51" borderId="0" xfId="0" applyFont="1" applyFill="1" applyBorder="1" applyAlignment="1" applyProtection="1">
      <alignment horizontal="center" vertical="center"/>
      <protection/>
    </xf>
    <xf numFmtId="195" fontId="11" fillId="64" borderId="10" xfId="0" applyNumberFormat="1" applyFont="1" applyFill="1" applyBorder="1" applyAlignment="1" applyProtection="1">
      <alignment horizontal="center"/>
      <protection locked="0"/>
    </xf>
    <xf numFmtId="172" fontId="11" fillId="64" borderId="38" xfId="55" applyNumberFormat="1" applyFont="1" applyFill="1" applyBorder="1" applyAlignment="1" applyProtection="1">
      <alignment horizontal="center"/>
      <protection locked="0"/>
    </xf>
    <xf numFmtId="17" fontId="11" fillId="64" borderId="10" xfId="0" applyNumberFormat="1" applyFont="1" applyFill="1" applyBorder="1" applyAlignment="1" applyProtection="1">
      <alignment/>
      <protection locked="0"/>
    </xf>
    <xf numFmtId="195" fontId="11" fillId="64" borderId="10" xfId="0" applyNumberFormat="1" applyFont="1" applyFill="1" applyBorder="1" applyAlignment="1" applyProtection="1">
      <alignment/>
      <protection locked="0"/>
    </xf>
    <xf numFmtId="170" fontId="159" fillId="0" borderId="101" xfId="0" applyNumberFormat="1" applyFont="1" applyFill="1" applyBorder="1" applyAlignment="1" applyProtection="1">
      <alignment horizontal="center" vertical="center"/>
      <protection/>
    </xf>
    <xf numFmtId="0" fontId="154" fillId="50" borderId="0" xfId="0" applyFont="1" applyFill="1" applyBorder="1" applyAlignment="1" applyProtection="1">
      <alignment horizontal="center" vertical="center"/>
      <protection/>
    </xf>
    <xf numFmtId="17" fontId="11" fillId="0" borderId="28" xfId="0" applyNumberFormat="1" applyFont="1" applyFill="1" applyBorder="1" applyAlignment="1" applyProtection="1">
      <alignment/>
      <protection locked="0"/>
    </xf>
    <xf numFmtId="195" fontId="11" fillId="0" borderId="138" xfId="0" applyNumberFormat="1" applyFont="1" applyFill="1" applyBorder="1" applyAlignment="1" applyProtection="1">
      <alignment/>
      <protection locked="0"/>
    </xf>
    <xf numFmtId="170" fontId="159" fillId="0" borderId="0" xfId="0" applyNumberFormat="1" applyFont="1" applyFill="1" applyBorder="1" applyAlignment="1" applyProtection="1">
      <alignment horizontal="center" vertical="center"/>
      <protection/>
    </xf>
    <xf numFmtId="0" fontId="166" fillId="50" borderId="0" xfId="0" applyFont="1" applyFill="1" applyBorder="1" applyAlignment="1" applyProtection="1">
      <alignment horizontal="center" vertical="center"/>
      <protection/>
    </xf>
    <xf numFmtId="17" fontId="11" fillId="0" borderId="23" xfId="0" applyNumberFormat="1" applyFont="1" applyFill="1" applyBorder="1" applyAlignment="1" applyProtection="1">
      <alignment/>
      <protection locked="0"/>
    </xf>
    <xf numFmtId="172" fontId="3" fillId="0" borderId="71" xfId="0" applyNumberFormat="1" applyFont="1" applyBorder="1" applyAlignment="1" applyProtection="1">
      <alignment/>
      <protection locked="0"/>
    </xf>
    <xf numFmtId="0" fontId="11" fillId="50" borderId="71" xfId="0" applyFont="1" applyFill="1" applyBorder="1" applyAlignment="1" applyProtection="1">
      <alignment/>
      <protection/>
    </xf>
    <xf numFmtId="0" fontId="136" fillId="51" borderId="0" xfId="0" applyFont="1" applyFill="1" applyBorder="1" applyAlignment="1" applyProtection="1">
      <alignment horizontal="center" vertical="center"/>
      <protection/>
    </xf>
    <xf numFmtId="172" fontId="10" fillId="0" borderId="115" xfId="0" applyNumberFormat="1" applyFont="1" applyBorder="1" applyAlignment="1" applyProtection="1">
      <alignment/>
      <protection/>
    </xf>
    <xf numFmtId="4" fontId="148" fillId="60" borderId="115" xfId="0" applyNumberFormat="1" applyFont="1" applyFill="1" applyBorder="1" applyAlignment="1" applyProtection="1">
      <alignment/>
      <protection/>
    </xf>
    <xf numFmtId="4" fontId="148" fillId="50" borderId="115" xfId="0" applyNumberFormat="1" applyFont="1" applyFill="1" applyBorder="1" applyAlignment="1" applyProtection="1">
      <alignment/>
      <protection/>
    </xf>
    <xf numFmtId="0" fontId="136" fillId="51" borderId="115" xfId="0" applyFont="1" applyFill="1" applyBorder="1" applyAlignment="1" applyProtection="1">
      <alignment horizontal="center" vertical="center"/>
      <protection/>
    </xf>
    <xf numFmtId="4" fontId="22" fillId="50" borderId="115" xfId="0" applyNumberFormat="1" applyFont="1" applyFill="1" applyBorder="1" applyAlignment="1" applyProtection="1">
      <alignment/>
      <protection/>
    </xf>
    <xf numFmtId="4" fontId="172" fillId="60" borderId="115" xfId="0" applyNumberFormat="1" applyFont="1" applyFill="1" applyBorder="1" applyAlignment="1" applyProtection="1">
      <alignment/>
      <protection/>
    </xf>
    <xf numFmtId="4" fontId="6" fillId="50" borderId="115" xfId="0" applyNumberFormat="1" applyFont="1" applyFill="1" applyBorder="1" applyAlignment="1" applyProtection="1">
      <alignment/>
      <protection/>
    </xf>
    <xf numFmtId="0" fontId="11" fillId="0" borderId="99" xfId="0" applyFont="1" applyFill="1" applyBorder="1" applyAlignment="1" applyProtection="1">
      <alignment/>
      <protection locked="0"/>
    </xf>
    <xf numFmtId="9" fontId="11" fillId="0" borderId="17" xfId="55" applyFont="1" applyBorder="1" applyAlignment="1" applyProtection="1">
      <alignment/>
      <protection locked="0"/>
    </xf>
    <xf numFmtId="10" fontId="0" fillId="0" borderId="20" xfId="0" applyNumberFormat="1" applyFont="1" applyBorder="1" applyAlignment="1" applyProtection="1">
      <alignment/>
      <protection locked="0"/>
    </xf>
    <xf numFmtId="1" fontId="167" fillId="0" borderId="0" xfId="0" applyNumberFormat="1" applyFont="1" applyBorder="1" applyAlignment="1">
      <alignment horizontal="right"/>
    </xf>
    <xf numFmtId="2" fontId="158" fillId="65" borderId="0" xfId="0" applyNumberFormat="1" applyFont="1" applyFill="1" applyAlignment="1">
      <alignment horizontal="right"/>
    </xf>
    <xf numFmtId="2" fontId="158" fillId="0" borderId="0" xfId="0" applyNumberFormat="1" applyFont="1" applyAlignment="1">
      <alignment horizontal="right"/>
    </xf>
    <xf numFmtId="2" fontId="158" fillId="66" borderId="0" xfId="0" applyNumberFormat="1" applyFont="1" applyFill="1" applyAlignment="1">
      <alignment horizontal="right"/>
    </xf>
    <xf numFmtId="177" fontId="158" fillId="0" borderId="0" xfId="0" applyNumberFormat="1" applyFont="1" applyAlignment="1">
      <alignment/>
    </xf>
    <xf numFmtId="0" fontId="81" fillId="0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/>
    </xf>
    <xf numFmtId="0" fontId="22" fillId="0" borderId="16" xfId="0" applyFont="1" applyBorder="1" applyAlignment="1" applyProtection="1">
      <alignment vertical="center"/>
      <protection/>
    </xf>
    <xf numFmtId="0" fontId="22" fillId="0" borderId="117" xfId="0" applyFont="1" applyBorder="1" applyAlignment="1" applyProtection="1">
      <alignment vertical="center"/>
      <protection/>
    </xf>
    <xf numFmtId="0" fontId="22" fillId="0" borderId="17" xfId="0" applyFont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4" fillId="0" borderId="58" xfId="0" applyFont="1" applyFill="1" applyBorder="1" applyAlignment="1" applyProtection="1">
      <alignment vertical="center"/>
      <protection/>
    </xf>
    <xf numFmtId="0" fontId="4" fillId="52" borderId="58" xfId="0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7" fontId="22" fillId="0" borderId="0" xfId="0" applyNumberFormat="1" applyFont="1" applyBorder="1" applyAlignment="1" applyProtection="1">
      <alignment vertical="center"/>
      <protection/>
    </xf>
    <xf numFmtId="195" fontId="22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9" fontId="0" fillId="0" borderId="0" xfId="55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17" fillId="0" borderId="19" xfId="0" applyFont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255</xdr:col>
      <xdr:colOff>571500</xdr:colOff>
      <xdr:row>1</xdr:row>
      <xdr:rowOff>0</xdr:rowOff>
    </xdr:to>
    <xdr:sp>
      <xdr:nvSpPr>
        <xdr:cNvPr id="1" name="Rectangle 2549"/>
        <xdr:cNvSpPr>
          <a:spLocks/>
        </xdr:cNvSpPr>
      </xdr:nvSpPr>
      <xdr:spPr>
        <a:xfrm>
          <a:off x="0" y="0"/>
          <a:ext cx="1983676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gmer\Escritorio\simuloferta19abr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V&#237;ctor\Configuraci&#243;n%20local\Archivos%20temporales%20de%20Internet\Content.IE5\FGZ6KQKF\simulad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ibo de sueldo"/>
      <sheetName val="Cargos"/>
      <sheetName val="Imp cargo"/>
      <sheetName val="Imp hs med"/>
      <sheetName val="Imp hs su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 24 feb 06"/>
      <sheetName val="Jubila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D:\Documents%20and%20Settings\Uruguay\Datos%20de%20programa\Microsoft\Excel\" TargetMode="External" /><Relationship Id="rId2" Type="http://schemas.openxmlformats.org/officeDocument/2006/relationships/hyperlink" Target="mailto:huttvictor@gmai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D:\Documents%20and%20Settings\Uruguay\Datos%20de%20programa\Microsoft\Excel\" TargetMode="External" /><Relationship Id="rId2" Type="http://schemas.openxmlformats.org/officeDocument/2006/relationships/hyperlink" Target="mailto:victorhutt@victorhutt.com.ar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S465"/>
  <sheetViews>
    <sheetView showGridLines="0"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7109375" style="10" customWidth="1"/>
    <col min="2" max="2" width="20.7109375" style="10" customWidth="1"/>
    <col min="3" max="3" width="16.140625" style="10" customWidth="1"/>
    <col min="4" max="4" width="38.28125" style="490" bestFit="1" customWidth="1"/>
    <col min="5" max="5" width="31.7109375" style="10" customWidth="1"/>
    <col min="6" max="6" width="19.8515625" style="10" customWidth="1"/>
    <col min="7" max="7" width="30.28125" style="10" customWidth="1"/>
    <col min="8" max="8" width="12.421875" style="10" customWidth="1"/>
    <col min="9" max="9" width="27.7109375" style="10" customWidth="1"/>
    <col min="10" max="10" width="19.7109375" style="10" customWidth="1"/>
    <col min="11" max="11" width="30.140625" style="10" customWidth="1"/>
    <col min="12" max="12" width="14.421875" style="10" customWidth="1"/>
    <col min="13" max="13" width="25.7109375" style="10" customWidth="1"/>
    <col min="14" max="14" width="13.421875" style="10" customWidth="1"/>
    <col min="15" max="15" width="36.7109375" style="10" customWidth="1"/>
    <col min="16" max="16" width="12.7109375" style="10" customWidth="1"/>
    <col min="17" max="17" width="23.57421875" style="10" customWidth="1"/>
    <col min="18" max="18" width="6.140625" style="10" customWidth="1"/>
    <col min="19" max="19" width="34.7109375" style="10" customWidth="1"/>
    <col min="20" max="20" width="5.8515625" style="10" customWidth="1"/>
    <col min="21" max="21" width="11.57421875" style="10" customWidth="1"/>
    <col min="22" max="22" width="27.8515625" style="10" customWidth="1"/>
    <col min="23" max="23" width="20.421875" style="10" customWidth="1"/>
    <col min="24" max="24" width="13.28125" style="10" customWidth="1"/>
    <col min="25" max="25" width="30.8515625" style="10" customWidth="1"/>
    <col min="26" max="26" width="22.421875" style="10" customWidth="1"/>
    <col min="27" max="16384" width="11.421875" style="10" customWidth="1"/>
  </cols>
  <sheetData>
    <row r="1" spans="1:14" s="669" customFormat="1" ht="20.25">
      <c r="A1" s="778"/>
      <c r="E1" s="901">
        <v>45383</v>
      </c>
      <c r="F1" s="902">
        <v>0.4668</v>
      </c>
      <c r="G1" s="901">
        <v>45352</v>
      </c>
      <c r="H1" s="902">
        <v>0.4514</v>
      </c>
      <c r="I1" s="901">
        <v>45323</v>
      </c>
      <c r="J1" s="902">
        <f>1.18*1.18-1</f>
        <v>0.39239999999999986</v>
      </c>
      <c r="K1" s="901">
        <v>45292</v>
      </c>
      <c r="L1" s="902">
        <v>0.18</v>
      </c>
      <c r="M1" s="901">
        <v>45261</v>
      </c>
      <c r="N1" s="902">
        <f>aumento10-1</f>
        <v>1.4117000000000002</v>
      </c>
    </row>
    <row r="2" spans="1:7" ht="12.75">
      <c r="A2" s="228"/>
      <c r="B2" s="124"/>
      <c r="C2" s="124"/>
      <c r="D2" s="486"/>
      <c r="E2" s="119"/>
      <c r="F2" s="124"/>
      <c r="G2" s="124"/>
    </row>
    <row r="3" spans="1:11" ht="27.75">
      <c r="A3" s="2"/>
      <c r="B3" s="892" t="s">
        <v>483</v>
      </c>
      <c r="D3" s="487"/>
      <c r="E3" s="460"/>
      <c r="F3" s="460"/>
      <c r="G3" s="454"/>
      <c r="H3" s="3"/>
      <c r="I3" s="4"/>
      <c r="J3" s="1"/>
      <c r="K3" s="2"/>
    </row>
    <row r="4" spans="1:11" ht="24" thickBot="1">
      <c r="A4" s="2"/>
      <c r="B4" s="812" t="s">
        <v>524</v>
      </c>
      <c r="D4" s="487"/>
      <c r="E4" s="460"/>
      <c r="F4" s="460"/>
      <c r="G4" s="454"/>
      <c r="H4" s="3"/>
      <c r="I4" s="4"/>
      <c r="J4" s="1"/>
      <c r="K4" s="2"/>
    </row>
    <row r="5" spans="1:11" ht="30">
      <c r="A5" s="2"/>
      <c r="B5" s="963" t="s">
        <v>539</v>
      </c>
      <c r="D5" s="542"/>
      <c r="E5" s="468"/>
      <c r="H5" s="3"/>
      <c r="I5" s="4"/>
      <c r="J5" s="1"/>
      <c r="K5" s="2"/>
    </row>
    <row r="6" spans="1:11" ht="24" thickBot="1">
      <c r="A6" s="2"/>
      <c r="B6" s="964" t="s">
        <v>540</v>
      </c>
      <c r="C6" s="909"/>
      <c r="D6" s="909"/>
      <c r="E6" s="910"/>
      <c r="H6" s="3"/>
      <c r="I6" s="4"/>
      <c r="J6" s="1"/>
      <c r="K6" s="2"/>
    </row>
    <row r="7" spans="1:11" s="461" customFormat="1" ht="13.5" thickTop="1">
      <c r="A7" s="838"/>
      <c r="B7" s="839"/>
      <c r="C7" s="840"/>
      <c r="D7" s="841"/>
      <c r="E7" s="842"/>
      <c r="F7" s="807"/>
      <c r="G7" s="808"/>
      <c r="H7" s="6"/>
      <c r="I7" s="843"/>
      <c r="J7" s="838"/>
      <c r="K7" s="838"/>
    </row>
    <row r="8" spans="1:11" s="461" customFormat="1" ht="12.75">
      <c r="A8" s="838"/>
      <c r="B8" s="844" t="s">
        <v>505</v>
      </c>
      <c r="C8" s="845"/>
      <c r="D8" s="807"/>
      <c r="E8" s="846"/>
      <c r="F8" s="807"/>
      <c r="G8" s="808"/>
      <c r="H8" s="6"/>
      <c r="I8" s="843"/>
      <c r="J8" s="838"/>
      <c r="K8" s="838"/>
    </row>
    <row r="9" spans="1:11" s="461" customFormat="1" ht="13.5" thickBot="1">
      <c r="A9" s="838"/>
      <c r="B9" s="847"/>
      <c r="C9" s="848"/>
      <c r="D9" s="849"/>
      <c r="E9" s="850"/>
      <c r="F9" s="807"/>
      <c r="G9" s="808"/>
      <c r="H9" s="6"/>
      <c r="I9" s="843"/>
      <c r="J9" s="838"/>
      <c r="K9" s="838"/>
    </row>
    <row r="10" spans="1:11" s="461" customFormat="1" ht="13.5" thickTop="1">
      <c r="A10" s="838"/>
      <c r="B10" s="887"/>
      <c r="C10" s="845"/>
      <c r="D10" s="807"/>
      <c r="E10" s="807"/>
      <c r="F10" s="807"/>
      <c r="G10" s="808"/>
      <c r="H10" s="6"/>
      <c r="I10" s="843"/>
      <c r="J10" s="838"/>
      <c r="K10" s="838"/>
    </row>
    <row r="11" spans="1:11" s="461" customFormat="1" ht="15.75">
      <c r="A11" s="838"/>
      <c r="B11" s="888" t="s">
        <v>508</v>
      </c>
      <c r="C11" s="845"/>
      <c r="D11" s="807"/>
      <c r="E11" s="807"/>
      <c r="F11" s="807"/>
      <c r="G11" s="808"/>
      <c r="H11" s="6"/>
      <c r="I11" s="843"/>
      <c r="J11" s="838"/>
      <c r="K11" s="838"/>
    </row>
    <row r="12" spans="1:11" s="461" customFormat="1" ht="12.75">
      <c r="A12" s="838"/>
      <c r="B12" s="887"/>
      <c r="C12" s="845"/>
      <c r="D12" s="807"/>
      <c r="E12" s="807"/>
      <c r="F12" s="807"/>
      <c r="G12" s="808"/>
      <c r="H12" s="6"/>
      <c r="I12" s="843"/>
      <c r="J12" s="838"/>
      <c r="K12" s="838"/>
    </row>
    <row r="13" spans="1:11" s="461" customFormat="1" ht="12.75">
      <c r="A13" s="838"/>
      <c r="B13" s="891"/>
      <c r="C13" s="889"/>
      <c r="D13" s="889"/>
      <c r="E13" s="890"/>
      <c r="F13" s="807"/>
      <c r="G13" s="808"/>
      <c r="H13" s="6"/>
      <c r="I13" s="843"/>
      <c r="J13" s="838"/>
      <c r="K13" s="838"/>
    </row>
    <row r="14" spans="1:11" ht="30">
      <c r="A14" s="2"/>
      <c r="B14" s="809" t="s">
        <v>497</v>
      </c>
      <c r="C14" s="808"/>
      <c r="D14" s="811"/>
      <c r="E14" s="810"/>
      <c r="F14" s="807"/>
      <c r="G14" s="808"/>
      <c r="H14" s="6"/>
      <c r="I14" s="4"/>
      <c r="J14" s="2"/>
      <c r="K14" s="2"/>
    </row>
    <row r="15" spans="1:11" ht="18">
      <c r="A15" s="2"/>
      <c r="B15" s="354"/>
      <c r="C15" s="338"/>
      <c r="D15" s="488"/>
      <c r="E15" s="469"/>
      <c r="F15" s="336"/>
      <c r="G15" s="337"/>
      <c r="H15" s="6"/>
      <c r="I15" s="4"/>
      <c r="J15" s="2"/>
      <c r="K15" s="2"/>
    </row>
    <row r="16" spans="1:11" ht="15">
      <c r="A16" s="2"/>
      <c r="B16" s="250"/>
      <c r="C16" s="251"/>
      <c r="D16" s="489"/>
      <c r="E16" s="470"/>
      <c r="F16" s="252"/>
      <c r="G16" s="253"/>
      <c r="H16" s="6"/>
      <c r="I16" s="4"/>
      <c r="J16" s="2"/>
      <c r="K16" s="2"/>
    </row>
    <row r="17" spans="1:11" ht="13.5" thickBot="1">
      <c r="A17" s="2"/>
      <c r="B17" s="1"/>
      <c r="C17" s="1"/>
      <c r="E17" s="1"/>
      <c r="F17" s="2"/>
      <c r="G17" s="5"/>
      <c r="H17" s="1"/>
      <c r="I17" s="4"/>
      <c r="J17" s="1"/>
      <c r="K17" s="2"/>
    </row>
    <row r="18" spans="1:11" ht="18.75" thickBot="1">
      <c r="A18" s="2"/>
      <c r="B18" s="557"/>
      <c r="C18" s="41" t="s">
        <v>0</v>
      </c>
      <c r="D18" s="547" t="s">
        <v>319</v>
      </c>
      <c r="E18" s="471"/>
      <c r="F18" s="41" t="s">
        <v>0</v>
      </c>
      <c r="G18" s="37"/>
      <c r="H18" s="1"/>
      <c r="I18" s="2"/>
      <c r="J18" s="1"/>
      <c r="K18" s="2"/>
    </row>
    <row r="19" spans="1:11" ht="18">
      <c r="A19" s="2"/>
      <c r="B19" s="557"/>
      <c r="C19" s="2"/>
      <c r="D19" s="547" t="s">
        <v>1</v>
      </c>
      <c r="E19" s="471"/>
      <c r="F19" s="37"/>
      <c r="G19" s="37"/>
      <c r="H19" s="1"/>
      <c r="I19" s="2"/>
      <c r="J19" s="1"/>
      <c r="K19" s="2"/>
    </row>
    <row r="20" spans="1:11" ht="18.75" thickBot="1">
      <c r="A20" s="2"/>
      <c r="B20" s="786"/>
      <c r="C20" s="4"/>
      <c r="D20" s="547" t="s">
        <v>2</v>
      </c>
      <c r="E20" s="471"/>
      <c r="F20" s="37"/>
      <c r="G20" s="38"/>
      <c r="H20" s="8"/>
      <c r="I20" s="4"/>
      <c r="J20" s="7"/>
      <c r="K20" s="2"/>
    </row>
    <row r="21" spans="1:11" ht="18.75" thickBot="1">
      <c r="A21" s="2"/>
      <c r="B21" s="786"/>
      <c r="C21" s="41" t="s">
        <v>0</v>
      </c>
      <c r="D21" s="548" t="s">
        <v>328</v>
      </c>
      <c r="E21" s="472"/>
      <c r="F21" s="41" t="s">
        <v>0</v>
      </c>
      <c r="G21" s="12"/>
      <c r="H21" s="8"/>
      <c r="I21" s="4"/>
      <c r="J21" s="7"/>
      <c r="K21" s="2"/>
    </row>
    <row r="22" spans="1:11" ht="15.75">
      <c r="A22" s="2"/>
      <c r="B22" s="786"/>
      <c r="C22" s="1"/>
      <c r="D22" s="491"/>
      <c r="E22" s="42"/>
      <c r="F22" s="2"/>
      <c r="G22" s="1"/>
      <c r="H22" s="8"/>
      <c r="I22" s="4"/>
      <c r="J22" s="7"/>
      <c r="K22" s="2"/>
    </row>
    <row r="23" spans="1:11" ht="12.75">
      <c r="A23" s="2"/>
      <c r="B23" s="557"/>
      <c r="C23" s="2"/>
      <c r="E23" s="2"/>
      <c r="F23" s="2"/>
      <c r="G23" s="9"/>
      <c r="H23" s="1"/>
      <c r="I23" s="9"/>
      <c r="J23" s="2"/>
      <c r="K23" s="2"/>
    </row>
    <row r="24" spans="1:253" s="11" customFormat="1" ht="15">
      <c r="A24" s="46"/>
      <c r="B24" s="47"/>
      <c r="C24" s="47"/>
      <c r="D24" s="492"/>
      <c r="F24" s="47"/>
      <c r="G24" s="47"/>
      <c r="I24" s="48"/>
      <c r="Q24" s="48"/>
      <c r="AC24" s="48"/>
      <c r="AK24" s="48"/>
      <c r="AS24" s="48"/>
      <c r="BA24" s="48"/>
      <c r="BI24" s="48"/>
      <c r="BQ24" s="48"/>
      <c r="BY24" s="48"/>
      <c r="CG24" s="48"/>
      <c r="CO24" s="48"/>
      <c r="CW24" s="48"/>
      <c r="DE24" s="48"/>
      <c r="DM24" s="48"/>
      <c r="DU24" s="48"/>
      <c r="EC24" s="48"/>
      <c r="EK24" s="48"/>
      <c r="ES24" s="48"/>
      <c r="FA24" s="48"/>
      <c r="FI24" s="48"/>
      <c r="FQ24" s="48"/>
      <c r="FY24" s="48"/>
      <c r="GG24" s="48"/>
      <c r="GO24" s="48"/>
      <c r="GW24" s="48"/>
      <c r="HE24" s="48"/>
      <c r="HM24" s="48"/>
      <c r="HU24" s="48"/>
      <c r="IC24" s="48"/>
      <c r="IK24" s="48"/>
      <c r="IS24" s="48"/>
    </row>
    <row r="25" spans="1:7" s="11" customFormat="1" ht="15">
      <c r="A25" s="49" t="s">
        <v>498</v>
      </c>
      <c r="B25" s="47"/>
      <c r="C25" s="47"/>
      <c r="D25" s="492"/>
      <c r="F25" s="47"/>
      <c r="G25" s="47"/>
    </row>
    <row r="26" spans="1:7" s="11" customFormat="1" ht="14.25">
      <c r="A26" s="49"/>
      <c r="B26" s="47"/>
      <c r="C26" s="47"/>
      <c r="D26" s="492"/>
      <c r="F26" s="47"/>
      <c r="G26" s="787"/>
    </row>
    <row r="27" spans="1:7" s="11" customFormat="1" ht="14.25">
      <c r="A27" s="49" t="s">
        <v>334</v>
      </c>
      <c r="B27" s="47"/>
      <c r="C27" s="47"/>
      <c r="D27" s="492"/>
      <c r="F27" s="47"/>
      <c r="G27" s="787"/>
    </row>
    <row r="28" spans="1:7" s="11" customFormat="1" ht="14.25">
      <c r="A28" s="49" t="s">
        <v>333</v>
      </c>
      <c r="B28" s="47"/>
      <c r="C28" s="47"/>
      <c r="D28" s="492"/>
      <c r="F28" s="47"/>
      <c r="G28" s="787"/>
    </row>
    <row r="29" spans="1:7" s="11" customFormat="1" ht="14.25">
      <c r="A29" s="49"/>
      <c r="B29" s="47"/>
      <c r="C29" s="47"/>
      <c r="D29" s="492"/>
      <c r="F29" s="47"/>
      <c r="G29" s="787"/>
    </row>
    <row r="30" spans="1:7" s="11" customFormat="1" ht="14.25">
      <c r="A30" s="49" t="s">
        <v>320</v>
      </c>
      <c r="B30" s="47"/>
      <c r="C30" s="47"/>
      <c r="D30" s="492"/>
      <c r="F30" s="47"/>
      <c r="G30" s="787"/>
    </row>
    <row r="31" spans="1:7" s="11" customFormat="1" ht="14.25">
      <c r="A31" s="49" t="s">
        <v>321</v>
      </c>
      <c r="B31" s="47"/>
      <c r="C31" s="47"/>
      <c r="D31" s="492"/>
      <c r="F31" s="47"/>
      <c r="G31" s="644"/>
    </row>
    <row r="32" spans="1:7" s="11" customFormat="1" ht="14.25">
      <c r="A32" s="49"/>
      <c r="B32" s="47"/>
      <c r="C32" s="47"/>
      <c r="D32" s="492"/>
      <c r="F32" s="47"/>
      <c r="G32" s="644"/>
    </row>
    <row r="33" spans="1:7" s="11" customFormat="1" ht="14.25">
      <c r="A33" s="49" t="s">
        <v>322</v>
      </c>
      <c r="B33" s="47"/>
      <c r="C33" s="47"/>
      <c r="D33" s="492"/>
      <c r="F33" s="47"/>
      <c r="G33" s="644"/>
    </row>
    <row r="34" spans="1:7" s="11" customFormat="1" ht="14.25">
      <c r="A34" s="49" t="s">
        <v>499</v>
      </c>
      <c r="B34" s="47"/>
      <c r="C34" s="47"/>
      <c r="D34" s="492"/>
      <c r="F34" s="47"/>
      <c r="G34" s="644"/>
    </row>
    <row r="35" spans="1:7" s="11" customFormat="1" ht="14.25">
      <c r="A35" s="49" t="s">
        <v>323</v>
      </c>
      <c r="B35" s="47"/>
      <c r="C35" s="47"/>
      <c r="D35" s="492"/>
      <c r="F35" s="47"/>
      <c r="G35" s="644"/>
    </row>
    <row r="36" spans="1:7" s="11" customFormat="1" ht="15.75">
      <c r="A36" s="49"/>
      <c r="B36" s="50"/>
      <c r="C36" s="47"/>
      <c r="D36" s="492"/>
      <c r="E36" s="42"/>
      <c r="F36" s="47"/>
      <c r="G36" s="644"/>
    </row>
    <row r="37" spans="1:7" s="11" customFormat="1" ht="15.75">
      <c r="A37" s="49" t="s">
        <v>325</v>
      </c>
      <c r="B37" s="50"/>
      <c r="C37" s="47"/>
      <c r="D37" s="492"/>
      <c r="E37" s="42"/>
      <c r="F37" s="47"/>
      <c r="G37" s="644"/>
    </row>
    <row r="38" spans="1:7" s="11" customFormat="1" ht="15.75">
      <c r="A38" s="281"/>
      <c r="B38" s="50"/>
      <c r="C38" s="47"/>
      <c r="D38" s="492"/>
      <c r="E38" s="42"/>
      <c r="F38" s="47"/>
      <c r="G38" s="644"/>
    </row>
    <row r="39" spans="1:7" s="11" customFormat="1" ht="14.25">
      <c r="A39" s="49" t="s">
        <v>3</v>
      </c>
      <c r="B39" s="47"/>
      <c r="C39" s="47"/>
      <c r="D39" s="492"/>
      <c r="F39" s="47"/>
      <c r="G39" s="644"/>
    </row>
    <row r="40" spans="1:6" s="11" customFormat="1" ht="14.25">
      <c r="A40" s="49" t="s">
        <v>4</v>
      </c>
      <c r="B40" s="47"/>
      <c r="C40" s="47"/>
      <c r="D40" s="492"/>
      <c r="F40" s="47"/>
    </row>
    <row r="41" spans="1:7" s="11" customFormat="1" ht="14.25">
      <c r="A41" s="49" t="s">
        <v>5</v>
      </c>
      <c r="B41" s="47"/>
      <c r="C41" s="47"/>
      <c r="D41" s="492"/>
      <c r="F41" s="47"/>
      <c r="G41" s="47"/>
    </row>
    <row r="42" spans="1:7" s="11" customFormat="1" ht="14.25">
      <c r="A42" s="49"/>
      <c r="B42" s="47"/>
      <c r="C42" s="47"/>
      <c r="D42" s="492"/>
      <c r="F42" s="47"/>
      <c r="G42" s="47"/>
    </row>
    <row r="43" spans="1:7" s="11" customFormat="1" ht="15">
      <c r="A43" s="46" t="s">
        <v>368</v>
      </c>
      <c r="B43" s="47"/>
      <c r="C43" s="47"/>
      <c r="D43" s="492"/>
      <c r="F43" s="47"/>
      <c r="G43" s="47"/>
    </row>
    <row r="44" spans="1:7" s="11" customFormat="1" ht="14.25">
      <c r="A44" s="49"/>
      <c r="B44" s="47"/>
      <c r="C44" s="47"/>
      <c r="D44" s="492"/>
      <c r="F44" s="47"/>
      <c r="G44" s="47"/>
    </row>
    <row r="45" spans="1:7" s="11" customFormat="1" ht="14.25">
      <c r="A45" s="49" t="s">
        <v>496</v>
      </c>
      <c r="B45" s="47"/>
      <c r="C45" s="47"/>
      <c r="D45" s="492"/>
      <c r="F45" s="47"/>
      <c r="G45" s="47"/>
    </row>
    <row r="46" spans="1:4" s="11" customFormat="1" ht="12.75" hidden="1">
      <c r="A46" s="896"/>
      <c r="D46" s="492"/>
    </row>
    <row r="47" spans="1:4" s="11" customFormat="1" ht="12.75" hidden="1">
      <c r="A47" s="896"/>
      <c r="D47" s="492"/>
    </row>
    <row r="48" spans="1:193" s="11" customFormat="1" ht="12.75" hidden="1">
      <c r="A48" s="897"/>
      <c r="D48" s="492"/>
      <c r="E48" s="51"/>
      <c r="I48" s="52"/>
      <c r="M48" s="51"/>
      <c r="Q48" s="52"/>
      <c r="U48" s="51"/>
      <c r="Y48" s="52"/>
      <c r="AC48" s="51"/>
      <c r="AG48" s="52"/>
      <c r="AK48" s="51"/>
      <c r="AO48" s="52"/>
      <c r="AS48" s="51"/>
      <c r="AW48" s="52"/>
      <c r="BA48" s="51"/>
      <c r="BE48" s="52"/>
      <c r="BI48" s="51"/>
      <c r="BM48" s="52"/>
      <c r="BQ48" s="51"/>
      <c r="BU48" s="52"/>
      <c r="BY48" s="51"/>
      <c r="CC48" s="52"/>
      <c r="CG48" s="51"/>
      <c r="CK48" s="52"/>
      <c r="CO48" s="51"/>
      <c r="CS48" s="52"/>
      <c r="CW48" s="51"/>
      <c r="DA48" s="52"/>
      <c r="DE48" s="51"/>
      <c r="DI48" s="52"/>
      <c r="DM48" s="51"/>
      <c r="DQ48" s="52"/>
      <c r="DU48" s="51"/>
      <c r="DY48" s="52"/>
      <c r="EC48" s="51"/>
      <c r="EG48" s="52"/>
      <c r="EK48" s="51"/>
      <c r="EO48" s="52"/>
      <c r="ES48" s="51"/>
      <c r="EW48" s="52"/>
      <c r="FA48" s="51"/>
      <c r="FE48" s="52"/>
      <c r="FI48" s="51"/>
      <c r="FM48" s="52"/>
      <c r="FQ48" s="51"/>
      <c r="FU48" s="52"/>
      <c r="FY48" s="51"/>
      <c r="GC48" s="52"/>
      <c r="GG48" s="51"/>
      <c r="GK48" s="52"/>
    </row>
    <row r="49" spans="1:5" ht="12.75" hidden="1">
      <c r="A49" s="898"/>
      <c r="E49" s="2"/>
    </row>
    <row r="50" spans="1:6" ht="12.75" hidden="1">
      <c r="A50" s="898"/>
      <c r="E50" s="2"/>
      <c r="F50" s="10" t="e">
        <f>indicemar14</f>
        <v>#NAME?</v>
      </c>
    </row>
    <row r="51" spans="1:5" ht="12.75" hidden="1">
      <c r="A51" s="898"/>
      <c r="E51" s="2"/>
    </row>
    <row r="52" spans="1:11" ht="13.5" hidden="1" thickBot="1">
      <c r="A52" s="898"/>
      <c r="E52" s="2"/>
      <c r="I52" s="10">
        <f>aumento10</f>
        <v>2.4117</v>
      </c>
      <c r="K52" s="10">
        <f>3500*1.25</f>
        <v>4375</v>
      </c>
    </row>
    <row r="53" spans="1:15" ht="15" hidden="1">
      <c r="A53" s="898"/>
      <c r="E53" s="2"/>
      <c r="O53" s="628" t="s">
        <v>487</v>
      </c>
    </row>
    <row r="54" spans="1:15" ht="12.75" hidden="1">
      <c r="A54" s="898"/>
      <c r="E54" s="2"/>
      <c r="G54" s="10">
        <f>Indiceproljorene24*1.18</f>
        <v>223.54814911999995</v>
      </c>
      <c r="L54" s="907">
        <f>1.7762+0.039+0.07*1.47+0.08*1.47</f>
        <v>2.0357</v>
      </c>
      <c r="O54" s="629" t="e">
        <f>#REF!</f>
        <v>#REF!</v>
      </c>
    </row>
    <row r="55" spans="1:15" ht="12.75" hidden="1">
      <c r="A55" s="898"/>
      <c r="E55" s="2"/>
      <c r="O55" s="629" t="e">
        <f>#REF!</f>
        <v>#REF!</v>
      </c>
    </row>
    <row r="56" spans="1:11" ht="12.75" hidden="1">
      <c r="A56" s="899"/>
      <c r="B56" s="641" t="s">
        <v>511</v>
      </c>
      <c r="C56" s="872">
        <v>92.913</v>
      </c>
      <c r="D56" s="890" t="s">
        <v>513</v>
      </c>
      <c r="E56" s="890">
        <v>109.63734</v>
      </c>
      <c r="F56" s="890" t="s">
        <v>526</v>
      </c>
      <c r="G56" s="996">
        <v>129.3721</v>
      </c>
      <c r="H56" s="890" t="s">
        <v>535</v>
      </c>
      <c r="I56" s="872">
        <v>134.8536</v>
      </c>
      <c r="J56" s="890" t="s">
        <v>536</v>
      </c>
      <c r="K56" s="872">
        <v>138.1435</v>
      </c>
    </row>
    <row r="57" spans="1:6" ht="12.75" hidden="1">
      <c r="A57" s="898"/>
      <c r="F57" s="490"/>
    </row>
    <row r="58" spans="1:4" ht="12.75" hidden="1">
      <c r="A58" s="898"/>
      <c r="D58" s="10"/>
    </row>
    <row r="59" spans="1:11" ht="12.75" hidden="1">
      <c r="A59" s="899"/>
      <c r="B59" s="642" t="s">
        <v>512</v>
      </c>
      <c r="C59" s="872">
        <v>160.5488</v>
      </c>
      <c r="D59" s="890" t="s">
        <v>514</v>
      </c>
      <c r="E59" s="872">
        <v>189.44758399999998</v>
      </c>
      <c r="F59" s="890" t="s">
        <v>527</v>
      </c>
      <c r="G59" s="996">
        <v>223.5482</v>
      </c>
      <c r="H59" s="890" t="s">
        <v>537</v>
      </c>
      <c r="I59" s="872">
        <v>233.0199</v>
      </c>
      <c r="J59" s="890" t="s">
        <v>538</v>
      </c>
      <c r="K59" s="872">
        <v>238.7048</v>
      </c>
    </row>
    <row r="60" spans="1:5" ht="12.75" hidden="1">
      <c r="A60" s="898"/>
      <c r="D60" s="890"/>
      <c r="E60" s="872"/>
    </row>
    <row r="61" spans="1:4" ht="12.75" hidden="1">
      <c r="A61" s="898"/>
      <c r="B61" s="448" t="s">
        <v>507</v>
      </c>
      <c r="C61" s="13">
        <f>LOOKUP(porcantigcargo,porant,cod06cargosene23)</f>
        <v>49498</v>
      </c>
      <c r="D61" s="10"/>
    </row>
    <row r="62" spans="1:9" ht="12.75" hidden="1">
      <c r="A62" s="898"/>
      <c r="D62" s="10"/>
      <c r="F62" s="448" t="s">
        <v>534</v>
      </c>
      <c r="G62" s="13">
        <f>LOOKUP(porcantigcargo,porant,cod06cargosfeb24)</f>
        <v>166179</v>
      </c>
      <c r="I62" s="630" t="e">
        <f>(#REF!-O54)/O54</f>
        <v>#REF!</v>
      </c>
    </row>
    <row r="63" spans="1:26" ht="15.75" hidden="1">
      <c r="A63" s="900"/>
      <c r="B63" s="99"/>
      <c r="C63" s="100"/>
      <c r="D63" s="493"/>
      <c r="E63" s="100"/>
      <c r="F63" s="100"/>
      <c r="G63" s="99"/>
      <c r="H63" s="100"/>
      <c r="I63" s="915" t="s">
        <v>509</v>
      </c>
      <c r="J63" s="10">
        <v>2.4117</v>
      </c>
      <c r="K63" s="461"/>
      <c r="L63" s="904"/>
      <c r="N63" s="788"/>
      <c r="O63" s="629"/>
      <c r="Y63" s="11"/>
      <c r="Z63" s="142"/>
    </row>
    <row r="64" spans="1:26" ht="15.75" hidden="1">
      <c r="A64" s="900"/>
      <c r="B64" s="99"/>
      <c r="C64" s="100"/>
      <c r="D64" s="493"/>
      <c r="E64" s="100"/>
      <c r="F64" s="100"/>
      <c r="G64" s="99"/>
      <c r="H64" s="100"/>
      <c r="I64" s="917" t="s">
        <v>510</v>
      </c>
      <c r="J64" s="916">
        <v>2.845151454</v>
      </c>
      <c r="K64" s="461"/>
      <c r="L64" s="903"/>
      <c r="M64" s="461"/>
      <c r="N64" s="907"/>
      <c r="O64" s="630"/>
      <c r="Y64" s="11"/>
      <c r="Z64" s="142"/>
    </row>
    <row r="65" spans="1:26" s="370" customFormat="1" ht="15.75" hidden="1">
      <c r="A65" s="900"/>
      <c r="B65" s="118"/>
      <c r="C65" s="451"/>
      <c r="D65" s="494"/>
      <c r="E65" s="457"/>
      <c r="F65" s="457"/>
      <c r="G65" s="457"/>
      <c r="H65" s="457"/>
      <c r="I65" s="590"/>
      <c r="J65" s="788"/>
      <c r="K65" s="461"/>
      <c r="L65" s="872"/>
      <c r="O65" s="95"/>
      <c r="P65" s="95"/>
      <c r="Q65" s="95"/>
      <c r="Y65" s="369"/>
      <c r="Z65" s="371"/>
    </row>
    <row r="66" spans="1:26" s="370" customFormat="1" ht="16.5" hidden="1" thickBot="1">
      <c r="A66" s="900"/>
      <c r="B66" s="10"/>
      <c r="C66" s="452">
        <v>44927</v>
      </c>
      <c r="D66" s="495"/>
      <c r="E66" s="473"/>
      <c r="F66" s="452">
        <v>44927</v>
      </c>
      <c r="G66" s="452">
        <v>44927</v>
      </c>
      <c r="H66" s="10"/>
      <c r="I66" s="590"/>
      <c r="J66" s="788"/>
      <c r="K66" s="461"/>
      <c r="L66" s="907"/>
      <c r="M66" s="10"/>
      <c r="N66" s="10"/>
      <c r="O66" s="10"/>
      <c r="P66" s="10"/>
      <c r="Q66" s="10"/>
      <c r="Y66" s="369"/>
      <c r="Z66" s="371"/>
    </row>
    <row r="67" spans="1:26" s="370" customFormat="1" ht="17.25" hidden="1" thickBot="1" thickTop="1">
      <c r="A67" s="900"/>
      <c r="B67" s="10"/>
      <c r="C67" s="341" t="s">
        <v>345</v>
      </c>
      <c r="D67" s="496" t="s">
        <v>347</v>
      </c>
      <c r="E67" s="474" t="s">
        <v>348</v>
      </c>
      <c r="F67" s="342" t="s">
        <v>349</v>
      </c>
      <c r="G67" s="343" t="s">
        <v>350</v>
      </c>
      <c r="H67" s="342" t="s">
        <v>351</v>
      </c>
      <c r="I67" s="342" t="s">
        <v>352</v>
      </c>
      <c r="J67" s="342" t="s">
        <v>353</v>
      </c>
      <c r="K67" s="342" t="s">
        <v>354</v>
      </c>
      <c r="L67" s="96" t="s">
        <v>355</v>
      </c>
      <c r="M67" s="96">
        <v>1</v>
      </c>
      <c r="N67" s="96">
        <v>2</v>
      </c>
      <c r="O67" s="96">
        <v>3</v>
      </c>
      <c r="P67" s="96">
        <v>4</v>
      </c>
      <c r="Q67" s="96">
        <v>5</v>
      </c>
      <c r="Y67" s="369"/>
      <c r="Z67" s="371"/>
    </row>
    <row r="68" spans="1:26" s="370" customFormat="1" ht="15.75" hidden="1">
      <c r="A68" s="900"/>
      <c r="B68" s="156">
        <v>0</v>
      </c>
      <c r="C68" s="344">
        <f aca="true" t="shared" si="0" ref="C68:C79">IF(OR(puntosproljor&lt;620,nina=1),Q68,L68)</f>
        <v>30012</v>
      </c>
      <c r="D68" s="870">
        <v>30012</v>
      </c>
      <c r="E68" s="871">
        <v>21436</v>
      </c>
      <c r="F68" s="871">
        <v>0</v>
      </c>
      <c r="G68" s="871">
        <v>0</v>
      </c>
      <c r="H68" s="871">
        <v>0</v>
      </c>
      <c r="I68" s="871">
        <v>0</v>
      </c>
      <c r="J68" s="871">
        <v>23971</v>
      </c>
      <c r="K68" s="871">
        <v>21240</v>
      </c>
      <c r="L68" s="453">
        <f aca="true" t="shared" si="1" ref="L68:L79">IF(PUNTOSbasicos&gt;971,K68,J68)</f>
        <v>23971</v>
      </c>
      <c r="M68" s="549">
        <f aca="true" t="shared" si="2" ref="M68:M79">IF(PUNTOSbasicos&lt;972,D68,E68)</f>
        <v>30012</v>
      </c>
      <c r="N68" s="549">
        <f aca="true" t="shared" si="3" ref="N68:N79">IF(PUNTOSbasicos&lt;1170,M68,F68)</f>
        <v>30012</v>
      </c>
      <c r="O68" s="549">
        <f aca="true" t="shared" si="4" ref="O68:O79">IF(PUNTOSbasicos&lt;1401,N68,G68)</f>
        <v>30012</v>
      </c>
      <c r="P68" s="549">
        <f aca="true" t="shared" si="5" ref="P68:P79">IF(PUNTOSbasicos&lt;1943,O68,H68)</f>
        <v>30012</v>
      </c>
      <c r="Q68" s="549">
        <f aca="true" t="shared" si="6" ref="Q68:Q79">IF(PUNTOSbasicos&lt;=2220,P68,I68)</f>
        <v>30012</v>
      </c>
      <c r="Y68" s="369"/>
      <c r="Z68" s="371"/>
    </row>
    <row r="69" spans="1:26" s="370" customFormat="1" ht="15.75" hidden="1">
      <c r="A69" s="900"/>
      <c r="B69" s="157">
        <v>0.1</v>
      </c>
      <c r="C69" s="344">
        <f t="shared" si="0"/>
        <v>36720</v>
      </c>
      <c r="D69" s="870">
        <v>36720</v>
      </c>
      <c r="E69" s="871">
        <v>21956</v>
      </c>
      <c r="F69" s="871">
        <v>0</v>
      </c>
      <c r="G69" s="871">
        <v>0</v>
      </c>
      <c r="H69" s="871">
        <v>0</v>
      </c>
      <c r="I69" s="871">
        <v>0</v>
      </c>
      <c r="J69" s="871">
        <v>24491</v>
      </c>
      <c r="K69" s="871">
        <v>21761</v>
      </c>
      <c r="L69" s="453">
        <f t="shared" si="1"/>
        <v>24491</v>
      </c>
      <c r="M69" s="549">
        <f t="shared" si="2"/>
        <v>36720</v>
      </c>
      <c r="N69" s="549">
        <f t="shared" si="3"/>
        <v>36720</v>
      </c>
      <c r="O69" s="549">
        <f t="shared" si="4"/>
        <v>36720</v>
      </c>
      <c r="P69" s="549">
        <f t="shared" si="5"/>
        <v>36720</v>
      </c>
      <c r="Q69" s="549">
        <f t="shared" si="6"/>
        <v>36720</v>
      </c>
      <c r="Y69" s="369"/>
      <c r="Z69" s="371"/>
    </row>
    <row r="70" spans="1:26" s="370" customFormat="1" ht="15.75" hidden="1">
      <c r="A70" s="900"/>
      <c r="B70" s="158">
        <v>0.15</v>
      </c>
      <c r="C70" s="344">
        <f t="shared" si="0"/>
        <v>40918</v>
      </c>
      <c r="D70" s="870">
        <v>40918</v>
      </c>
      <c r="E70" s="871">
        <v>26581</v>
      </c>
      <c r="F70" s="871">
        <v>29627</v>
      </c>
      <c r="G70" s="871">
        <v>25328</v>
      </c>
      <c r="H70" s="871">
        <v>26354</v>
      </c>
      <c r="I70" s="871">
        <v>0</v>
      </c>
      <c r="J70" s="871">
        <v>31199</v>
      </c>
      <c r="K70" s="871">
        <v>28469</v>
      </c>
      <c r="L70" s="453">
        <f t="shared" si="1"/>
        <v>31199</v>
      </c>
      <c r="M70" s="549">
        <f t="shared" si="2"/>
        <v>40918</v>
      </c>
      <c r="N70" s="549">
        <f t="shared" si="3"/>
        <v>40918</v>
      </c>
      <c r="O70" s="549">
        <f t="shared" si="4"/>
        <v>40918</v>
      </c>
      <c r="P70" s="549">
        <f t="shared" si="5"/>
        <v>40918</v>
      </c>
      <c r="Q70" s="549">
        <f t="shared" si="6"/>
        <v>40918</v>
      </c>
      <c r="Y70" s="369"/>
      <c r="Z70" s="371"/>
    </row>
    <row r="71" spans="1:26" s="370" customFormat="1" ht="15.75" hidden="1">
      <c r="A71" s="900"/>
      <c r="B71" s="158">
        <v>0.3</v>
      </c>
      <c r="C71" s="344">
        <f t="shared" si="0"/>
        <v>42654</v>
      </c>
      <c r="D71" s="870">
        <v>42654</v>
      </c>
      <c r="E71" s="871">
        <v>27323</v>
      </c>
      <c r="F71" s="871">
        <v>29627</v>
      </c>
      <c r="G71" s="871">
        <v>25328</v>
      </c>
      <c r="H71" s="871">
        <v>26354</v>
      </c>
      <c r="I71" s="871">
        <v>0</v>
      </c>
      <c r="J71" s="871">
        <v>39454</v>
      </c>
      <c r="K71" s="871">
        <v>35177</v>
      </c>
      <c r="L71" s="453">
        <f t="shared" si="1"/>
        <v>39454</v>
      </c>
      <c r="M71" s="549">
        <f t="shared" si="2"/>
        <v>42654</v>
      </c>
      <c r="N71" s="549">
        <f t="shared" si="3"/>
        <v>42654</v>
      </c>
      <c r="O71" s="549">
        <f t="shared" si="4"/>
        <v>42654</v>
      </c>
      <c r="P71" s="549">
        <f t="shared" si="5"/>
        <v>42654</v>
      </c>
      <c r="Q71" s="549">
        <f t="shared" si="6"/>
        <v>42654</v>
      </c>
      <c r="Y71" s="369"/>
      <c r="Z71" s="371"/>
    </row>
    <row r="72" spans="1:26" s="370" customFormat="1" ht="15.75" hidden="1">
      <c r="A72" s="900"/>
      <c r="B72" s="158">
        <v>0.4</v>
      </c>
      <c r="C72" s="344">
        <f t="shared" si="0"/>
        <v>39845</v>
      </c>
      <c r="D72" s="870">
        <v>39845</v>
      </c>
      <c r="E72" s="871">
        <v>28112</v>
      </c>
      <c r="F72" s="871">
        <v>28279</v>
      </c>
      <c r="G72" s="871">
        <v>25691</v>
      </c>
      <c r="H72" s="871">
        <v>26354</v>
      </c>
      <c r="I72" s="871">
        <v>24302</v>
      </c>
      <c r="J72" s="871">
        <v>42563</v>
      </c>
      <c r="K72" s="871">
        <v>35881</v>
      </c>
      <c r="L72" s="453">
        <f t="shared" si="1"/>
        <v>42563</v>
      </c>
      <c r="M72" s="549">
        <f t="shared" si="2"/>
        <v>39845</v>
      </c>
      <c r="N72" s="549">
        <f t="shared" si="3"/>
        <v>39845</v>
      </c>
      <c r="O72" s="549">
        <f t="shared" si="4"/>
        <v>39845</v>
      </c>
      <c r="P72" s="549">
        <f t="shared" si="5"/>
        <v>39845</v>
      </c>
      <c r="Q72" s="549">
        <f t="shared" si="6"/>
        <v>39845</v>
      </c>
      <c r="Y72" s="369"/>
      <c r="Z72" s="371"/>
    </row>
    <row r="73" spans="1:26" s="370" customFormat="1" ht="15.75" hidden="1">
      <c r="A73" s="900"/>
      <c r="B73" s="158">
        <v>0.5</v>
      </c>
      <c r="C73" s="344">
        <f t="shared" si="0"/>
        <v>36483</v>
      </c>
      <c r="D73" s="870">
        <v>36483</v>
      </c>
      <c r="E73" s="871">
        <v>29138</v>
      </c>
      <c r="F73" s="871">
        <v>28279</v>
      </c>
      <c r="G73" s="871">
        <v>25691</v>
      </c>
      <c r="H73" s="871">
        <v>26354</v>
      </c>
      <c r="I73" s="871">
        <v>22418</v>
      </c>
      <c r="J73" s="871">
        <v>44363</v>
      </c>
      <c r="K73" s="871">
        <v>37664</v>
      </c>
      <c r="L73" s="453">
        <f t="shared" si="1"/>
        <v>44363</v>
      </c>
      <c r="M73" s="549">
        <f t="shared" si="2"/>
        <v>36483</v>
      </c>
      <c r="N73" s="549">
        <f t="shared" si="3"/>
        <v>36483</v>
      </c>
      <c r="O73" s="549">
        <f t="shared" si="4"/>
        <v>36483</v>
      </c>
      <c r="P73" s="549">
        <f t="shared" si="5"/>
        <v>36483</v>
      </c>
      <c r="Q73" s="549">
        <f t="shared" si="6"/>
        <v>36483</v>
      </c>
      <c r="Y73" s="369"/>
      <c r="Z73" s="371"/>
    </row>
    <row r="74" spans="1:26" s="370" customFormat="1" ht="15.75" hidden="1">
      <c r="A74" s="900"/>
      <c r="B74" s="158">
        <v>0.6</v>
      </c>
      <c r="C74" s="344">
        <f t="shared" si="0"/>
        <v>36609</v>
      </c>
      <c r="D74" s="870">
        <v>36609</v>
      </c>
      <c r="E74" s="871">
        <v>28769</v>
      </c>
      <c r="F74" s="871">
        <v>28789</v>
      </c>
      <c r="G74" s="871">
        <v>25865</v>
      </c>
      <c r="H74" s="871">
        <v>24975</v>
      </c>
      <c r="I74" s="871">
        <v>23412</v>
      </c>
      <c r="J74" s="871">
        <v>46162</v>
      </c>
      <c r="K74" s="871">
        <v>38453</v>
      </c>
      <c r="L74" s="453">
        <f t="shared" si="1"/>
        <v>46162</v>
      </c>
      <c r="M74" s="549">
        <f t="shared" si="2"/>
        <v>36609</v>
      </c>
      <c r="N74" s="549">
        <f t="shared" si="3"/>
        <v>36609</v>
      </c>
      <c r="O74" s="549">
        <f t="shared" si="4"/>
        <v>36609</v>
      </c>
      <c r="P74" s="549">
        <f t="shared" si="5"/>
        <v>36609</v>
      </c>
      <c r="Q74" s="549">
        <f t="shared" si="6"/>
        <v>36609</v>
      </c>
      <c r="Y74" s="369"/>
      <c r="Z74" s="371"/>
    </row>
    <row r="75" spans="1:26" s="370" customFormat="1" ht="15.75" hidden="1">
      <c r="A75" s="900"/>
      <c r="B75" s="158">
        <v>0.7</v>
      </c>
      <c r="C75" s="344">
        <f t="shared" si="0"/>
        <v>33731</v>
      </c>
      <c r="D75" s="870">
        <v>33731</v>
      </c>
      <c r="E75" s="871">
        <v>30047</v>
      </c>
      <c r="F75" s="871">
        <v>34119</v>
      </c>
      <c r="G75" s="871">
        <v>25369</v>
      </c>
      <c r="H75" s="871">
        <v>24975</v>
      </c>
      <c r="I75" s="871">
        <v>23412</v>
      </c>
      <c r="J75" s="871">
        <v>45067</v>
      </c>
      <c r="K75" s="871">
        <v>39243</v>
      </c>
      <c r="L75" s="453">
        <f t="shared" si="1"/>
        <v>45067</v>
      </c>
      <c r="M75" s="549">
        <f t="shared" si="2"/>
        <v>33731</v>
      </c>
      <c r="N75" s="549">
        <f t="shared" si="3"/>
        <v>33731</v>
      </c>
      <c r="O75" s="549">
        <f t="shared" si="4"/>
        <v>33731</v>
      </c>
      <c r="P75" s="549">
        <f t="shared" si="5"/>
        <v>33731</v>
      </c>
      <c r="Q75" s="549">
        <f t="shared" si="6"/>
        <v>33731</v>
      </c>
      <c r="Y75" s="369"/>
      <c r="Z75" s="371"/>
    </row>
    <row r="76" spans="1:26" s="370" customFormat="1" ht="15.75" hidden="1">
      <c r="A76" s="900"/>
      <c r="B76" s="158">
        <v>0.8</v>
      </c>
      <c r="C76" s="344">
        <f t="shared" si="0"/>
        <v>38103</v>
      </c>
      <c r="D76" s="870">
        <v>38103</v>
      </c>
      <c r="E76" s="871">
        <v>33125</v>
      </c>
      <c r="F76" s="871">
        <v>35698</v>
      </c>
      <c r="G76" s="871">
        <v>30972</v>
      </c>
      <c r="H76" s="871">
        <v>29552</v>
      </c>
      <c r="I76" s="871">
        <v>24469</v>
      </c>
      <c r="J76" s="871">
        <v>46582</v>
      </c>
      <c r="K76" s="871">
        <v>39748</v>
      </c>
      <c r="L76" s="453">
        <f t="shared" si="1"/>
        <v>46582</v>
      </c>
      <c r="M76" s="549">
        <f t="shared" si="2"/>
        <v>38103</v>
      </c>
      <c r="N76" s="549">
        <f t="shared" si="3"/>
        <v>38103</v>
      </c>
      <c r="O76" s="549">
        <f t="shared" si="4"/>
        <v>38103</v>
      </c>
      <c r="P76" s="549">
        <f t="shared" si="5"/>
        <v>38103</v>
      </c>
      <c r="Q76" s="549">
        <f t="shared" si="6"/>
        <v>38103</v>
      </c>
      <c r="Y76" s="369"/>
      <c r="Z76" s="371"/>
    </row>
    <row r="77" spans="1:26" s="370" customFormat="1" ht="15.75" hidden="1">
      <c r="A77" s="900"/>
      <c r="B77" s="158">
        <v>1</v>
      </c>
      <c r="C77" s="344">
        <f t="shared" si="0"/>
        <v>44400</v>
      </c>
      <c r="D77" s="870">
        <v>44400</v>
      </c>
      <c r="E77" s="871">
        <v>37702</v>
      </c>
      <c r="F77" s="871">
        <v>36439</v>
      </c>
      <c r="G77" s="871">
        <v>30467</v>
      </c>
      <c r="H77" s="871">
        <v>31098</v>
      </c>
      <c r="I77" s="871">
        <v>24469</v>
      </c>
      <c r="J77" s="871">
        <v>48413</v>
      </c>
      <c r="K77" s="871">
        <v>40505</v>
      </c>
      <c r="L77" s="453">
        <f t="shared" si="1"/>
        <v>48413</v>
      </c>
      <c r="M77" s="549">
        <f t="shared" si="2"/>
        <v>44400</v>
      </c>
      <c r="N77" s="549">
        <f t="shared" si="3"/>
        <v>44400</v>
      </c>
      <c r="O77" s="549">
        <f t="shared" si="4"/>
        <v>44400</v>
      </c>
      <c r="P77" s="549">
        <f t="shared" si="5"/>
        <v>44400</v>
      </c>
      <c r="Q77" s="549">
        <f t="shared" si="6"/>
        <v>44400</v>
      </c>
      <c r="Y77" s="369"/>
      <c r="Z77" s="371"/>
    </row>
    <row r="78" spans="1:26" s="370" customFormat="1" ht="15.75" hidden="1">
      <c r="A78" s="900"/>
      <c r="B78" s="158">
        <v>1.1</v>
      </c>
      <c r="C78" s="344">
        <f t="shared" si="0"/>
        <v>48267</v>
      </c>
      <c r="D78" s="870">
        <v>48267</v>
      </c>
      <c r="E78" s="871">
        <v>40796</v>
      </c>
      <c r="F78" s="871">
        <v>35597</v>
      </c>
      <c r="G78" s="871">
        <v>30467</v>
      </c>
      <c r="H78" s="871">
        <v>31619</v>
      </c>
      <c r="I78" s="871">
        <v>24975</v>
      </c>
      <c r="J78" s="871">
        <v>49691</v>
      </c>
      <c r="K78" s="871">
        <v>41279</v>
      </c>
      <c r="L78" s="453">
        <f t="shared" si="1"/>
        <v>49691</v>
      </c>
      <c r="M78" s="549">
        <f t="shared" si="2"/>
        <v>48267</v>
      </c>
      <c r="N78" s="549">
        <f t="shared" si="3"/>
        <v>48267</v>
      </c>
      <c r="O78" s="549">
        <f t="shared" si="4"/>
        <v>48267</v>
      </c>
      <c r="P78" s="549">
        <f t="shared" si="5"/>
        <v>48267</v>
      </c>
      <c r="Q78" s="549">
        <f t="shared" si="6"/>
        <v>48267</v>
      </c>
      <c r="Y78" s="369"/>
      <c r="Z78" s="371"/>
    </row>
    <row r="79" spans="1:26" s="370" customFormat="1" ht="16.5" hidden="1" thickBot="1">
      <c r="A79" s="900"/>
      <c r="B79" s="159">
        <v>1.2</v>
      </c>
      <c r="C79" s="344">
        <f t="shared" si="0"/>
        <v>49498</v>
      </c>
      <c r="D79" s="870">
        <v>49498</v>
      </c>
      <c r="E79" s="871">
        <v>41553</v>
      </c>
      <c r="F79" s="871">
        <v>38122</v>
      </c>
      <c r="G79" s="871">
        <v>30720</v>
      </c>
      <c r="H79" s="871">
        <v>32124</v>
      </c>
      <c r="I79" s="871">
        <v>24975</v>
      </c>
      <c r="J79" s="871">
        <v>49944</v>
      </c>
      <c r="K79" s="871">
        <v>41583</v>
      </c>
      <c r="L79" s="453">
        <f t="shared" si="1"/>
        <v>49944</v>
      </c>
      <c r="M79" s="549">
        <f t="shared" si="2"/>
        <v>49498</v>
      </c>
      <c r="N79" s="549">
        <f t="shared" si="3"/>
        <v>49498</v>
      </c>
      <c r="O79" s="549">
        <f t="shared" si="4"/>
        <v>49498</v>
      </c>
      <c r="P79" s="549">
        <f t="shared" si="5"/>
        <v>49498</v>
      </c>
      <c r="Q79" s="549">
        <f t="shared" si="6"/>
        <v>49498</v>
      </c>
      <c r="Y79" s="369"/>
      <c r="Z79" s="371"/>
    </row>
    <row r="80" spans="1:26" s="370" customFormat="1" ht="15.75" hidden="1">
      <c r="A80" s="900"/>
      <c r="B80" s="118"/>
      <c r="C80" s="451"/>
      <c r="D80" s="992"/>
      <c r="E80" s="992"/>
      <c r="F80" s="992"/>
      <c r="G80" s="992"/>
      <c r="H80" s="992"/>
      <c r="I80" s="992"/>
      <c r="J80" s="992"/>
      <c r="K80" s="992"/>
      <c r="L80" s="379"/>
      <c r="M80" s="379"/>
      <c r="N80" s="379"/>
      <c r="O80" s="379"/>
      <c r="P80" s="379"/>
      <c r="Q80" s="379"/>
      <c r="Y80" s="369"/>
      <c r="Z80" s="371"/>
    </row>
    <row r="81" spans="1:26" s="370" customFormat="1" ht="15.75" hidden="1">
      <c r="A81" s="900"/>
      <c r="B81" s="118"/>
      <c r="C81" s="451"/>
      <c r="D81" s="992"/>
      <c r="E81" s="992"/>
      <c r="F81" s="992"/>
      <c r="G81" s="992"/>
      <c r="H81" s="992"/>
      <c r="I81" s="992"/>
      <c r="J81" s="992"/>
      <c r="K81" s="992"/>
      <c r="L81" s="379"/>
      <c r="M81" s="379"/>
      <c r="N81" s="379"/>
      <c r="O81" s="379"/>
      <c r="P81" s="379"/>
      <c r="Q81" s="379"/>
      <c r="Y81" s="369"/>
      <c r="Z81" s="371"/>
    </row>
    <row r="82" spans="1:26" s="370" customFormat="1" ht="16.5" hidden="1" thickBot="1">
      <c r="A82" s="900"/>
      <c r="B82" s="10"/>
      <c r="C82" s="452">
        <v>45323</v>
      </c>
      <c r="D82" s="495"/>
      <c r="E82" s="473"/>
      <c r="F82" s="452">
        <v>45323</v>
      </c>
      <c r="G82" s="452">
        <v>45323</v>
      </c>
      <c r="H82" s="10"/>
      <c r="I82" s="590"/>
      <c r="J82" s="788"/>
      <c r="K82" s="461"/>
      <c r="L82" s="907"/>
      <c r="M82" s="10"/>
      <c r="N82" s="10"/>
      <c r="O82" s="10"/>
      <c r="P82" s="10"/>
      <c r="Q82" s="10"/>
      <c r="Y82" s="369"/>
      <c r="Z82" s="371"/>
    </row>
    <row r="83" spans="1:26" s="370" customFormat="1" ht="17.25" hidden="1" thickBot="1" thickTop="1">
      <c r="A83" s="900"/>
      <c r="B83" s="10"/>
      <c r="C83" s="341" t="s">
        <v>345</v>
      </c>
      <c r="D83" s="496" t="s">
        <v>347</v>
      </c>
      <c r="E83" s="474" t="s">
        <v>348</v>
      </c>
      <c r="F83" s="342" t="s">
        <v>349</v>
      </c>
      <c r="G83" s="343" t="s">
        <v>350</v>
      </c>
      <c r="H83" s="342" t="s">
        <v>351</v>
      </c>
      <c r="I83" s="342" t="s">
        <v>352</v>
      </c>
      <c r="J83" s="342" t="s">
        <v>353</v>
      </c>
      <c r="K83" s="342" t="s">
        <v>354</v>
      </c>
      <c r="L83" s="96" t="s">
        <v>355</v>
      </c>
      <c r="M83" s="96">
        <v>1</v>
      </c>
      <c r="N83" s="96">
        <v>2</v>
      </c>
      <c r="O83" s="96">
        <v>3</v>
      </c>
      <c r="P83" s="96">
        <v>4</v>
      </c>
      <c r="Q83" s="96">
        <v>5</v>
      </c>
      <c r="Y83" s="369"/>
      <c r="Z83" s="371"/>
    </row>
    <row r="84" spans="1:26" s="370" customFormat="1" ht="15.75" hidden="1">
      <c r="A84" s="900"/>
      <c r="B84" s="156">
        <v>0</v>
      </c>
      <c r="C84" s="344">
        <f aca="true" t="shared" si="7" ref="C84:C95">IF(OR(puntosproljor&lt;620,nina=1),Q84,L84)</f>
        <v>101613</v>
      </c>
      <c r="D84" s="993">
        <v>101613</v>
      </c>
      <c r="E84" s="993">
        <v>72575</v>
      </c>
      <c r="F84" s="994">
        <v>0</v>
      </c>
      <c r="G84" s="891"/>
      <c r="H84" s="994">
        <v>0</v>
      </c>
      <c r="I84" s="994">
        <v>0</v>
      </c>
      <c r="J84" s="995">
        <v>81158</v>
      </c>
      <c r="K84" s="995">
        <v>71913</v>
      </c>
      <c r="L84" s="453">
        <f aca="true" t="shared" si="8" ref="L84:L95">IF(PUNTOSbasicos&gt;971,K84,J84)</f>
        <v>81158</v>
      </c>
      <c r="M84" s="549">
        <f aca="true" t="shared" si="9" ref="M84:M95">IF(PUNTOSbasicos&lt;972,D84,E84)</f>
        <v>101613</v>
      </c>
      <c r="N84" s="549">
        <f aca="true" t="shared" si="10" ref="N84:N95">IF(PUNTOSbasicos&lt;1170,M84,F84)</f>
        <v>101613</v>
      </c>
      <c r="O84" s="549">
        <f aca="true" t="shared" si="11" ref="O84:O95">IF(PUNTOSbasicos&lt;1401,N84,G84)</f>
        <v>101613</v>
      </c>
      <c r="P84" s="549">
        <f aca="true" t="shared" si="12" ref="P84:P95">IF(PUNTOSbasicos&lt;1943,O84,H84)</f>
        <v>101613</v>
      </c>
      <c r="Q84" s="549">
        <f aca="true" t="shared" si="13" ref="Q84:Q95">IF(PUNTOSbasicos&lt;=2220,P84,I84)</f>
        <v>101613</v>
      </c>
      <c r="Y84" s="369"/>
      <c r="Z84" s="371"/>
    </row>
    <row r="85" spans="1:26" s="370" customFormat="1" ht="15.75" hidden="1">
      <c r="A85" s="900"/>
      <c r="B85" s="157">
        <v>0.1</v>
      </c>
      <c r="C85" s="344">
        <f t="shared" si="7"/>
        <v>124324</v>
      </c>
      <c r="D85" s="993">
        <v>124324</v>
      </c>
      <c r="E85" s="993">
        <v>74339</v>
      </c>
      <c r="F85" s="994">
        <v>0</v>
      </c>
      <c r="G85" s="891"/>
      <c r="H85" s="994">
        <v>0</v>
      </c>
      <c r="I85" s="994">
        <v>0</v>
      </c>
      <c r="J85" s="995">
        <v>82291</v>
      </c>
      <c r="K85" s="995">
        <v>73676</v>
      </c>
      <c r="L85" s="453">
        <f t="shared" si="8"/>
        <v>82291</v>
      </c>
      <c r="M85" s="549">
        <f t="shared" si="9"/>
        <v>124324</v>
      </c>
      <c r="N85" s="549">
        <f t="shared" si="10"/>
        <v>124324</v>
      </c>
      <c r="O85" s="549">
        <f t="shared" si="11"/>
        <v>124324</v>
      </c>
      <c r="P85" s="549">
        <f t="shared" si="12"/>
        <v>124324</v>
      </c>
      <c r="Q85" s="549">
        <f t="shared" si="13"/>
        <v>124324</v>
      </c>
      <c r="Y85" s="369"/>
      <c r="Z85" s="371"/>
    </row>
    <row r="86" spans="1:26" s="370" customFormat="1" ht="15.75" hidden="1">
      <c r="A86" s="900"/>
      <c r="B86" s="158">
        <v>0.15</v>
      </c>
      <c r="C86" s="344">
        <f t="shared" si="7"/>
        <v>138538</v>
      </c>
      <c r="D86" s="993">
        <v>138538</v>
      </c>
      <c r="E86" s="993">
        <v>89996</v>
      </c>
      <c r="F86" s="995">
        <v>100309</v>
      </c>
      <c r="G86" s="994">
        <v>85753</v>
      </c>
      <c r="H86" s="995">
        <v>89227</v>
      </c>
      <c r="I86" s="994">
        <v>0</v>
      </c>
      <c r="J86" s="995">
        <v>105632</v>
      </c>
      <c r="K86" s="995">
        <v>96388</v>
      </c>
      <c r="L86" s="453">
        <f t="shared" si="8"/>
        <v>105632</v>
      </c>
      <c r="M86" s="549">
        <f t="shared" si="9"/>
        <v>138538</v>
      </c>
      <c r="N86" s="549">
        <f t="shared" si="10"/>
        <v>138538</v>
      </c>
      <c r="O86" s="549">
        <f t="shared" si="11"/>
        <v>138538</v>
      </c>
      <c r="P86" s="549">
        <f t="shared" si="12"/>
        <v>138538</v>
      </c>
      <c r="Q86" s="549">
        <f t="shared" si="13"/>
        <v>138538</v>
      </c>
      <c r="Y86" s="369"/>
      <c r="Z86" s="371"/>
    </row>
    <row r="87" spans="1:26" s="370" customFormat="1" ht="15.75" hidden="1">
      <c r="A87" s="900"/>
      <c r="B87" s="158">
        <v>0.3</v>
      </c>
      <c r="C87" s="344">
        <f t="shared" si="7"/>
        <v>144416</v>
      </c>
      <c r="D87" s="993">
        <v>144416</v>
      </c>
      <c r="E87" s="993">
        <v>92507</v>
      </c>
      <c r="F87" s="995">
        <v>100309</v>
      </c>
      <c r="G87" s="994">
        <v>85753</v>
      </c>
      <c r="H87" s="995">
        <v>89227</v>
      </c>
      <c r="I87" s="994">
        <v>0</v>
      </c>
      <c r="J87" s="995">
        <v>133580</v>
      </c>
      <c r="K87" s="995">
        <v>119099</v>
      </c>
      <c r="L87" s="453">
        <f t="shared" si="8"/>
        <v>133580</v>
      </c>
      <c r="M87" s="549">
        <f t="shared" si="9"/>
        <v>144416</v>
      </c>
      <c r="N87" s="549">
        <f t="shared" si="10"/>
        <v>144416</v>
      </c>
      <c r="O87" s="549">
        <f t="shared" si="11"/>
        <v>144416</v>
      </c>
      <c r="P87" s="549">
        <f t="shared" si="12"/>
        <v>144416</v>
      </c>
      <c r="Q87" s="549">
        <f t="shared" si="13"/>
        <v>144416</v>
      </c>
      <c r="Y87" s="369"/>
      <c r="Z87" s="371"/>
    </row>
    <row r="88" spans="1:26" s="370" customFormat="1" ht="15.75" hidden="1">
      <c r="A88" s="900"/>
      <c r="B88" s="158">
        <v>0.4</v>
      </c>
      <c r="C88" s="344">
        <f t="shared" si="7"/>
        <v>134904</v>
      </c>
      <c r="D88" s="993">
        <v>134904</v>
      </c>
      <c r="E88" s="993">
        <v>95179</v>
      </c>
      <c r="F88" s="993">
        <v>95746</v>
      </c>
      <c r="G88" s="995">
        <v>86983</v>
      </c>
      <c r="H88" s="995">
        <v>89227</v>
      </c>
      <c r="I88" s="995">
        <v>82280</v>
      </c>
      <c r="J88" s="995">
        <v>144108</v>
      </c>
      <c r="K88" s="994">
        <v>121483</v>
      </c>
      <c r="L88" s="453">
        <f t="shared" si="8"/>
        <v>144108</v>
      </c>
      <c r="M88" s="549">
        <f t="shared" si="9"/>
        <v>134904</v>
      </c>
      <c r="N88" s="549">
        <f t="shared" si="10"/>
        <v>134904</v>
      </c>
      <c r="O88" s="549">
        <f t="shared" si="11"/>
        <v>134904</v>
      </c>
      <c r="P88" s="549">
        <f t="shared" si="12"/>
        <v>134904</v>
      </c>
      <c r="Q88" s="549">
        <f t="shared" si="13"/>
        <v>134904</v>
      </c>
      <c r="Y88" s="369"/>
      <c r="Z88" s="371"/>
    </row>
    <row r="89" spans="1:26" s="370" customFormat="1" ht="15.75" hidden="1">
      <c r="A89" s="900"/>
      <c r="B89" s="158">
        <v>0.5</v>
      </c>
      <c r="C89" s="344">
        <f t="shared" si="7"/>
        <v>123522</v>
      </c>
      <c r="D89" s="993">
        <v>123522</v>
      </c>
      <c r="E89" s="993">
        <v>98653</v>
      </c>
      <c r="F89" s="993">
        <v>95746</v>
      </c>
      <c r="G89" s="995">
        <v>86983</v>
      </c>
      <c r="H89" s="995">
        <v>89227</v>
      </c>
      <c r="I89" s="994">
        <v>75900</v>
      </c>
      <c r="J89" s="995">
        <v>150200</v>
      </c>
      <c r="K89" s="994">
        <v>127521</v>
      </c>
      <c r="L89" s="453">
        <f t="shared" si="8"/>
        <v>150200</v>
      </c>
      <c r="M89" s="549">
        <f t="shared" si="9"/>
        <v>123522</v>
      </c>
      <c r="N89" s="549">
        <f t="shared" si="10"/>
        <v>123522</v>
      </c>
      <c r="O89" s="549">
        <f t="shared" si="11"/>
        <v>123522</v>
      </c>
      <c r="P89" s="549">
        <f t="shared" si="12"/>
        <v>123522</v>
      </c>
      <c r="Q89" s="549">
        <f t="shared" si="13"/>
        <v>123522</v>
      </c>
      <c r="Y89" s="369"/>
      <c r="Z89" s="371"/>
    </row>
    <row r="90" spans="1:26" s="370" customFormat="1" ht="15.75" hidden="1">
      <c r="A90" s="900"/>
      <c r="B90" s="158">
        <v>0.6</v>
      </c>
      <c r="C90" s="344">
        <f t="shared" si="7"/>
        <v>123950</v>
      </c>
      <c r="D90" s="993">
        <v>123950</v>
      </c>
      <c r="E90" s="994">
        <v>97403</v>
      </c>
      <c r="F90" s="993">
        <v>97403</v>
      </c>
      <c r="G90" s="995">
        <v>87570</v>
      </c>
      <c r="H90" s="994">
        <v>84557</v>
      </c>
      <c r="I90" s="994">
        <v>79267</v>
      </c>
      <c r="J90" s="995">
        <v>156292</v>
      </c>
      <c r="K90" s="994">
        <v>130193</v>
      </c>
      <c r="L90" s="453">
        <f t="shared" si="8"/>
        <v>156292</v>
      </c>
      <c r="M90" s="549">
        <f t="shared" si="9"/>
        <v>123950</v>
      </c>
      <c r="N90" s="549">
        <f t="shared" si="10"/>
        <v>123950</v>
      </c>
      <c r="O90" s="549">
        <f t="shared" si="11"/>
        <v>123950</v>
      </c>
      <c r="P90" s="549">
        <f t="shared" si="12"/>
        <v>123950</v>
      </c>
      <c r="Q90" s="549">
        <f t="shared" si="13"/>
        <v>123950</v>
      </c>
      <c r="Y90" s="369"/>
      <c r="Z90" s="371"/>
    </row>
    <row r="91" spans="1:26" s="370" customFormat="1" ht="15.75" hidden="1">
      <c r="A91" s="900"/>
      <c r="B91" s="158">
        <v>0.7</v>
      </c>
      <c r="C91" s="344">
        <f t="shared" si="7"/>
        <v>114203</v>
      </c>
      <c r="D91" s="994">
        <v>114203</v>
      </c>
      <c r="E91" s="994">
        <v>101731</v>
      </c>
      <c r="F91" s="993">
        <v>115518</v>
      </c>
      <c r="G91" s="995">
        <v>85893</v>
      </c>
      <c r="H91" s="994">
        <v>84557</v>
      </c>
      <c r="I91" s="994">
        <v>79267</v>
      </c>
      <c r="J91" s="994">
        <v>152584</v>
      </c>
      <c r="K91" s="994">
        <v>132865</v>
      </c>
      <c r="L91" s="453">
        <f t="shared" si="8"/>
        <v>152584</v>
      </c>
      <c r="M91" s="549">
        <f t="shared" si="9"/>
        <v>114203</v>
      </c>
      <c r="N91" s="549">
        <f t="shared" si="10"/>
        <v>114203</v>
      </c>
      <c r="O91" s="549">
        <f t="shared" si="11"/>
        <v>114203</v>
      </c>
      <c r="P91" s="549">
        <f t="shared" si="12"/>
        <v>114203</v>
      </c>
      <c r="Q91" s="549">
        <f t="shared" si="13"/>
        <v>114203</v>
      </c>
      <c r="Y91" s="369"/>
      <c r="Z91" s="371"/>
    </row>
    <row r="92" spans="1:26" s="370" customFormat="1" ht="15.75" hidden="1">
      <c r="A92" s="900"/>
      <c r="B92" s="158">
        <v>0.8</v>
      </c>
      <c r="C92" s="344">
        <f t="shared" si="7"/>
        <v>129005</v>
      </c>
      <c r="D92" s="994">
        <v>129005</v>
      </c>
      <c r="E92" s="994">
        <v>112152</v>
      </c>
      <c r="F92" s="993">
        <v>120862</v>
      </c>
      <c r="G92" s="995">
        <v>104863</v>
      </c>
      <c r="H92" s="994">
        <v>100054</v>
      </c>
      <c r="I92" s="994">
        <v>82847</v>
      </c>
      <c r="J92" s="994">
        <v>157714</v>
      </c>
      <c r="K92" s="994">
        <v>134575</v>
      </c>
      <c r="L92" s="453">
        <f t="shared" si="8"/>
        <v>157714</v>
      </c>
      <c r="M92" s="549">
        <f t="shared" si="9"/>
        <v>129005</v>
      </c>
      <c r="N92" s="549">
        <f t="shared" si="10"/>
        <v>129005</v>
      </c>
      <c r="O92" s="549">
        <f t="shared" si="11"/>
        <v>129005</v>
      </c>
      <c r="P92" s="549">
        <f t="shared" si="12"/>
        <v>129005</v>
      </c>
      <c r="Q92" s="549">
        <f t="shared" si="13"/>
        <v>129005</v>
      </c>
      <c r="Y92" s="369"/>
      <c r="Z92" s="371"/>
    </row>
    <row r="93" spans="1:26" s="370" customFormat="1" ht="15.75" hidden="1">
      <c r="A93" s="900"/>
      <c r="B93" s="158">
        <v>1</v>
      </c>
      <c r="C93" s="344">
        <f t="shared" si="7"/>
        <v>149064</v>
      </c>
      <c r="D93" s="994">
        <v>149064</v>
      </c>
      <c r="E93" s="994">
        <v>126576</v>
      </c>
      <c r="F93" s="993">
        <v>122337</v>
      </c>
      <c r="G93" s="994">
        <v>102287</v>
      </c>
      <c r="H93" s="994">
        <v>104406</v>
      </c>
      <c r="I93" s="994">
        <v>82151</v>
      </c>
      <c r="J93" s="994">
        <v>162535</v>
      </c>
      <c r="K93" s="994">
        <v>135987</v>
      </c>
      <c r="L93" s="453">
        <f t="shared" si="8"/>
        <v>162535</v>
      </c>
      <c r="M93" s="549">
        <f t="shared" si="9"/>
        <v>149064</v>
      </c>
      <c r="N93" s="549">
        <f t="shared" si="10"/>
        <v>149064</v>
      </c>
      <c r="O93" s="549">
        <f t="shared" si="11"/>
        <v>149064</v>
      </c>
      <c r="P93" s="549">
        <f t="shared" si="12"/>
        <v>149064</v>
      </c>
      <c r="Q93" s="549">
        <f t="shared" si="13"/>
        <v>149064</v>
      </c>
      <c r="Y93" s="369"/>
      <c r="Z93" s="371"/>
    </row>
    <row r="94" spans="1:26" s="370" customFormat="1" ht="15.75" hidden="1">
      <c r="A94" s="900"/>
      <c r="B94" s="158">
        <v>1.1</v>
      </c>
      <c r="C94" s="344">
        <f t="shared" si="7"/>
        <v>162046</v>
      </c>
      <c r="D94" s="994">
        <v>162046</v>
      </c>
      <c r="E94" s="994">
        <v>136962</v>
      </c>
      <c r="F94" s="994">
        <v>119508</v>
      </c>
      <c r="G94" s="994">
        <v>102287</v>
      </c>
      <c r="H94" s="994">
        <v>106155</v>
      </c>
      <c r="I94" s="994">
        <v>83846</v>
      </c>
      <c r="J94" s="994">
        <v>166827</v>
      </c>
      <c r="K94" s="994">
        <v>138584</v>
      </c>
      <c r="L94" s="453">
        <f t="shared" si="8"/>
        <v>166827</v>
      </c>
      <c r="M94" s="549">
        <f t="shared" si="9"/>
        <v>162046</v>
      </c>
      <c r="N94" s="549">
        <f t="shared" si="10"/>
        <v>162046</v>
      </c>
      <c r="O94" s="549">
        <f t="shared" si="11"/>
        <v>162046</v>
      </c>
      <c r="P94" s="549">
        <f t="shared" si="12"/>
        <v>162046</v>
      </c>
      <c r="Q94" s="549">
        <f t="shared" si="13"/>
        <v>162046</v>
      </c>
      <c r="Y94" s="369"/>
      <c r="Z94" s="371"/>
    </row>
    <row r="95" spans="1:26" s="370" customFormat="1" ht="16.5" hidden="1" thickBot="1">
      <c r="A95" s="900"/>
      <c r="B95" s="159">
        <v>1.2</v>
      </c>
      <c r="C95" s="344">
        <f t="shared" si="7"/>
        <v>166179</v>
      </c>
      <c r="D95" s="994">
        <v>166179</v>
      </c>
      <c r="E95" s="994">
        <v>139505</v>
      </c>
      <c r="F95" s="994">
        <v>127986</v>
      </c>
      <c r="G95" s="994">
        <v>103134</v>
      </c>
      <c r="H95" s="994">
        <v>107850</v>
      </c>
      <c r="I95" s="994">
        <v>83846</v>
      </c>
      <c r="J95" s="994">
        <v>167675</v>
      </c>
      <c r="K95" s="994">
        <v>139536</v>
      </c>
      <c r="L95" s="453">
        <f t="shared" si="8"/>
        <v>167675</v>
      </c>
      <c r="M95" s="549">
        <f t="shared" si="9"/>
        <v>166179</v>
      </c>
      <c r="N95" s="549">
        <f t="shared" si="10"/>
        <v>166179</v>
      </c>
      <c r="O95" s="549">
        <f t="shared" si="11"/>
        <v>166179</v>
      </c>
      <c r="P95" s="549">
        <f t="shared" si="12"/>
        <v>166179</v>
      </c>
      <c r="Q95" s="549">
        <f t="shared" si="13"/>
        <v>166179</v>
      </c>
      <c r="Y95" s="369"/>
      <c r="Z95" s="371"/>
    </row>
    <row r="96" spans="1:26" s="370" customFormat="1" ht="15.75" hidden="1">
      <c r="A96" s="900"/>
      <c r="B96" s="118"/>
      <c r="C96" s="451"/>
      <c r="D96" s="992"/>
      <c r="E96" s="992"/>
      <c r="F96" s="992"/>
      <c r="G96" s="992"/>
      <c r="H96" s="992"/>
      <c r="I96" s="992"/>
      <c r="J96" s="992"/>
      <c r="K96" s="992"/>
      <c r="L96" s="379"/>
      <c r="M96" s="379"/>
      <c r="N96" s="379"/>
      <c r="O96" s="379"/>
      <c r="P96" s="379"/>
      <c r="Q96" s="379"/>
      <c r="Y96" s="369"/>
      <c r="Z96" s="371"/>
    </row>
    <row r="97" spans="1:26" s="370" customFormat="1" ht="15.75" hidden="1">
      <c r="A97" s="900"/>
      <c r="B97" s="118"/>
      <c r="C97" s="451"/>
      <c r="D97" s="992"/>
      <c r="E97" s="992"/>
      <c r="F97" s="992"/>
      <c r="G97" s="992"/>
      <c r="H97" s="992"/>
      <c r="I97" s="992"/>
      <c r="J97" s="992"/>
      <c r="K97" s="992"/>
      <c r="L97" s="379"/>
      <c r="M97" s="379"/>
      <c r="N97" s="379"/>
      <c r="O97" s="379"/>
      <c r="P97" s="379"/>
      <c r="Q97" s="379"/>
      <c r="Y97" s="369"/>
      <c r="Z97" s="371"/>
    </row>
    <row r="98" spans="1:26" s="370" customFormat="1" ht="15.75" hidden="1">
      <c r="A98" s="900"/>
      <c r="B98" s="118"/>
      <c r="C98" s="451"/>
      <c r="D98" s="498"/>
      <c r="E98" s="467"/>
      <c r="F98" s="467"/>
      <c r="G98" s="467"/>
      <c r="H98" s="467"/>
      <c r="I98" s="467"/>
      <c r="J98" s="467"/>
      <c r="K98" s="467"/>
      <c r="L98" s="379"/>
      <c r="M98" s="95"/>
      <c r="N98" s="95"/>
      <c r="O98" s="95"/>
      <c r="P98" s="95"/>
      <c r="Q98" s="95"/>
      <c r="Y98" s="369"/>
      <c r="Z98" s="371"/>
    </row>
    <row r="99" spans="1:26" s="370" customFormat="1" ht="15.75" hidden="1">
      <c r="A99" s="900"/>
      <c r="B99" s="118"/>
      <c r="C99" s="451"/>
      <c r="D99" s="498"/>
      <c r="E99" s="467"/>
      <c r="F99" s="467"/>
      <c r="G99" s="467"/>
      <c r="H99" s="467"/>
      <c r="I99" s="467"/>
      <c r="J99" s="467"/>
      <c r="K99" s="467"/>
      <c r="L99" s="379"/>
      <c r="M99" s="95"/>
      <c r="N99" s="95"/>
      <c r="O99" s="95"/>
      <c r="P99" s="95"/>
      <c r="Q99" s="95"/>
      <c r="Y99" s="369"/>
      <c r="Z99" s="371"/>
    </row>
    <row r="100" spans="1:26" s="370" customFormat="1" ht="15.75" hidden="1">
      <c r="A100" s="900"/>
      <c r="B100" s="372"/>
      <c r="C100" s="369"/>
      <c r="D100" s="497"/>
      <c r="E100" s="369"/>
      <c r="F100" s="369"/>
      <c r="G100" s="368"/>
      <c r="H100" s="369"/>
      <c r="I100" s="369"/>
      <c r="J100" s="369"/>
      <c r="K100" s="369"/>
      <c r="Y100" s="369"/>
      <c r="Z100" s="371"/>
    </row>
    <row r="101" spans="1:26" s="47" customFormat="1" ht="15.75" hidden="1">
      <c r="A101" s="898"/>
      <c r="B101" s="42"/>
      <c r="C101" s="95"/>
      <c r="D101" s="499"/>
      <c r="E101" s="11"/>
      <c r="F101" s="11"/>
      <c r="G101" s="48"/>
      <c r="H101" s="11"/>
      <c r="I101" s="11"/>
      <c r="J101" s="11"/>
      <c r="K101" s="11"/>
      <c r="Y101" s="11"/>
      <c r="Z101" s="142"/>
    </row>
    <row r="102" spans="1:25" ht="15.75">
      <c r="A102" s="223"/>
      <c r="B102" s="225"/>
      <c r="C102" s="226"/>
      <c r="D102" s="500"/>
      <c r="E102" s="226"/>
      <c r="F102" s="401"/>
      <c r="G102" s="226"/>
      <c r="H102" s="226"/>
      <c r="I102" s="225"/>
      <c r="J102" s="226"/>
      <c r="K102" s="226"/>
      <c r="X102" s="11"/>
      <c r="Y102" s="142"/>
    </row>
    <row r="103" spans="1:25" ht="26.25">
      <c r="A103" s="11"/>
      <c r="B103" s="124"/>
      <c r="C103" s="760" t="s">
        <v>318</v>
      </c>
      <c r="D103" s="486"/>
      <c r="E103" s="119"/>
      <c r="F103" s="338"/>
      <c r="G103" s="282" t="s">
        <v>318</v>
      </c>
      <c r="H103" s="124"/>
      <c r="I103" s="124"/>
      <c r="J103" s="282" t="s">
        <v>318</v>
      </c>
      <c r="K103" s="124"/>
      <c r="Q103" s="773"/>
      <c r="R103" s="774"/>
      <c r="X103" s="11"/>
      <c r="Y103" s="142"/>
    </row>
    <row r="104" spans="1:25" ht="16.5" thickBot="1">
      <c r="A104" s="11"/>
      <c r="B104" s="11"/>
      <c r="C104" s="11"/>
      <c r="D104" s="492"/>
      <c r="E104" s="11"/>
      <c r="F104" s="11"/>
      <c r="G104" s="48"/>
      <c r="H104" s="11"/>
      <c r="I104" s="2"/>
      <c r="J104" s="2"/>
      <c r="Q104" s="773"/>
      <c r="R104" s="774"/>
      <c r="X104" s="11"/>
      <c r="Y104" s="142"/>
    </row>
    <row r="105" spans="1:24" ht="15.75">
      <c r="A105" s="97" t="s">
        <v>30</v>
      </c>
      <c r="B105" s="408" t="s">
        <v>309</v>
      </c>
      <c r="C105" s="408" t="s">
        <v>310</v>
      </c>
      <c r="D105" s="501" t="s">
        <v>311</v>
      </c>
      <c r="E105" s="475" t="s">
        <v>312</v>
      </c>
      <c r="F105" s="409" t="s">
        <v>474</v>
      </c>
      <c r="G105" s="410" t="s">
        <v>472</v>
      </c>
      <c r="H105" s="73" t="s">
        <v>476</v>
      </c>
      <c r="I105" s="404" t="s">
        <v>504</v>
      </c>
      <c r="J105" s="411"/>
      <c r="K105" s="411"/>
      <c r="L105" s="411"/>
      <c r="P105" s="775"/>
      <c r="Q105" s="776"/>
      <c r="W105" s="11"/>
      <c r="X105" s="142"/>
    </row>
    <row r="106" spans="1:24" ht="27" thickBot="1">
      <c r="A106" s="997">
        <v>749</v>
      </c>
      <c r="B106" s="413">
        <f>LOOKUP(A106,numerocargo,punbascargo)</f>
        <v>971</v>
      </c>
      <c r="C106" s="413">
        <f>LOOKUP(A106,numerocargo,tardif)</f>
        <v>0</v>
      </c>
      <c r="D106" s="502">
        <f>LOOKUP(A106,numerocargo,proljor)</f>
        <v>0</v>
      </c>
      <c r="E106" s="476">
        <f>LOOKUP(A106,numerocargo,jorcom)</f>
        <v>0</v>
      </c>
      <c r="F106" s="414">
        <f>LOOKUP(A106,numerocargo,puntoscompbas2015)</f>
        <v>350</v>
      </c>
      <c r="G106" s="377">
        <f>LOOKUP(A106,numerocargo,adicdir2016)</f>
        <v>0</v>
      </c>
      <c r="H106" s="36">
        <f>IF(AND(nina=1,LOOKUP(A106,numerocargo,adicnina)&gt;0),LOOKUP(A106,numerocargo,adicnina),0)</f>
        <v>0</v>
      </c>
      <c r="I106" s="404">
        <f>LOOKUP(A106,numerocargo,adicdir2022)</f>
        <v>0</v>
      </c>
      <c r="J106" s="411"/>
      <c r="K106" s="411"/>
      <c r="L106" s="411"/>
      <c r="P106" s="773"/>
      <c r="Q106" s="774"/>
      <c r="W106" s="11"/>
      <c r="X106" s="142"/>
    </row>
    <row r="107" spans="2:25" s="998" customFormat="1" ht="28.5" customHeight="1" thickBot="1">
      <c r="B107" s="1012" t="str">
        <f>LOOKUP(A106,Cargos!A3:A336,Cargos!B3:B336)</f>
        <v> MAESTRO DE GRADO</v>
      </c>
      <c r="C107" s="999"/>
      <c r="D107" s="1000"/>
      <c r="E107" s="1001"/>
      <c r="F107" s="1002"/>
      <c r="G107" s="1003" t="s">
        <v>474</v>
      </c>
      <c r="H107" s="1004"/>
      <c r="I107" s="1005"/>
      <c r="J107" s="1006"/>
      <c r="K107" s="1007"/>
      <c r="L107" s="1008"/>
      <c r="M107" s="1008"/>
      <c r="Q107" s="775"/>
      <c r="R107" s="1009"/>
      <c r="X107" s="1010"/>
      <c r="Y107" s="1011"/>
    </row>
    <row r="108" spans="2:24" ht="17.25" thickBot="1" thickTop="1">
      <c r="B108" s="420" t="s">
        <v>332</v>
      </c>
      <c r="C108" s="377"/>
      <c r="D108" s="503"/>
      <c r="E108" s="377"/>
      <c r="F108" s="416" t="s">
        <v>330</v>
      </c>
      <c r="G108" s="414">
        <f>LOOKUP(A106,numerocargo,puntoscompbas2016)</f>
        <v>414.7</v>
      </c>
      <c r="H108" s="417"/>
      <c r="I108" s="412"/>
      <c r="Q108" s="773"/>
      <c r="R108" s="774"/>
      <c r="W108" s="11"/>
      <c r="X108" s="142"/>
    </row>
    <row r="109" spans="1:24" ht="17.25" thickBot="1" thickTop="1">
      <c r="A109" s="95"/>
      <c r="B109" s="421">
        <v>0</v>
      </c>
      <c r="E109" s="477">
        <v>120</v>
      </c>
      <c r="F109" s="419">
        <f>E109/120</f>
        <v>1</v>
      </c>
      <c r="G109" s="95"/>
      <c r="H109" s="411"/>
      <c r="I109" s="412"/>
      <c r="Q109" s="775"/>
      <c r="R109" s="777"/>
      <c r="W109" s="11"/>
      <c r="X109" s="142"/>
    </row>
    <row r="110" spans="1:24" ht="17.25" thickBot="1" thickTop="1">
      <c r="A110" s="95"/>
      <c r="B110" s="779"/>
      <c r="C110" s="418"/>
      <c r="D110" s="504"/>
      <c r="E110" s="478"/>
      <c r="F110" s="377"/>
      <c r="G110" s="95"/>
      <c r="H110" s="411" t="s">
        <v>482</v>
      </c>
      <c r="I110" s="412"/>
      <c r="Q110" s="773"/>
      <c r="R110" s="774"/>
      <c r="W110" s="11"/>
      <c r="X110" s="142"/>
    </row>
    <row r="111" spans="1:24" ht="20.25" customHeight="1" thickBot="1" thickTop="1">
      <c r="A111" s="95"/>
      <c r="C111" s="415" t="s">
        <v>31</v>
      </c>
      <c r="D111" s="544" t="s">
        <v>361</v>
      </c>
      <c r="E111" s="422"/>
      <c r="F111" s="447">
        <v>0.82</v>
      </c>
      <c r="G111" s="97" t="s">
        <v>475</v>
      </c>
      <c r="H111" s="449">
        <v>0</v>
      </c>
      <c r="I111" s="806">
        <f>A106</f>
        <v>749</v>
      </c>
      <c r="J111" s="991" t="str">
        <f>B107</f>
        <v> MAESTRO DE GRADO</v>
      </c>
      <c r="K111" s="990">
        <f>porcantigcargo</f>
        <v>1.2</v>
      </c>
      <c r="Q111" s="775"/>
      <c r="R111" s="777"/>
      <c r="W111" s="11"/>
      <c r="X111" s="142"/>
    </row>
    <row r="112" spans="1:24" ht="20.25" customHeight="1">
      <c r="A112" s="95"/>
      <c r="C112" s="95"/>
      <c r="D112" s="803"/>
      <c r="E112" s="444"/>
      <c r="F112" s="556"/>
      <c r="G112" s="95"/>
      <c r="H112" s="828">
        <v>45261</v>
      </c>
      <c r="I112" s="829">
        <f>M120</f>
        <v>340465.6595842882</v>
      </c>
      <c r="J112" s="813"/>
      <c r="K112" s="989"/>
      <c r="L112" s="228"/>
      <c r="Q112" s="775"/>
      <c r="R112" s="777"/>
      <c r="W112" s="11"/>
      <c r="X112" s="142"/>
    </row>
    <row r="113" spans="1:25" ht="20.25" customHeight="1">
      <c r="A113" s="95"/>
      <c r="B113" s="95"/>
      <c r="C113" s="95"/>
      <c r="D113" s="503"/>
      <c r="E113" s="377"/>
      <c r="F113" s="377"/>
      <c r="G113" s="95"/>
      <c r="H113" s="831">
        <v>45292</v>
      </c>
      <c r="I113" s="832">
        <f>K120</f>
        <v>401720.87524058676</v>
      </c>
      <c r="J113" s="883">
        <f>I113-$I$112</f>
        <v>61255.21565629856</v>
      </c>
      <c r="K113" s="893">
        <f>J113/$I$112</f>
        <v>0.17991598838805584</v>
      </c>
      <c r="L113" s="228"/>
      <c r="M113" s="804"/>
      <c r="N113" s="47"/>
      <c r="O113" s="47"/>
      <c r="P113" s="47"/>
      <c r="Q113" s="773"/>
      <c r="R113" s="774"/>
      <c r="S113" s="142"/>
      <c r="T113" s="47"/>
      <c r="U113" s="47"/>
      <c r="V113" s="47"/>
      <c r="W113" s="47"/>
      <c r="X113" s="47"/>
      <c r="Y113" s="47"/>
    </row>
    <row r="114" spans="1:22" ht="20.25" customHeight="1" thickBot="1">
      <c r="A114" s="95"/>
      <c r="B114" s="95"/>
      <c r="C114" s="736"/>
      <c r="D114" s="503"/>
      <c r="E114" s="377"/>
      <c r="F114" s="377"/>
      <c r="G114" s="438"/>
      <c r="H114" s="970" t="s">
        <v>525</v>
      </c>
      <c r="I114" s="971">
        <f>K121</f>
        <v>426720.87524058676</v>
      </c>
      <c r="J114" s="968">
        <f>I114-$I$112</f>
        <v>86255.21565629856</v>
      </c>
      <c r="K114" s="969">
        <f>J114/$I$112</f>
        <v>0.2533448329608836</v>
      </c>
      <c r="L114" s="228"/>
      <c r="N114" s="47"/>
      <c r="O114" s="11"/>
      <c r="P114" s="142"/>
      <c r="Q114" s="775"/>
      <c r="R114" s="777"/>
      <c r="S114" s="47"/>
      <c r="T114" s="47"/>
      <c r="U114" s="47"/>
      <c r="V114" s="47"/>
    </row>
    <row r="115" spans="1:23" ht="20.25" customHeight="1" thickBot="1">
      <c r="A115" s="339"/>
      <c r="B115" s="423" t="s">
        <v>9</v>
      </c>
      <c r="C115" s="424"/>
      <c r="D115" s="505">
        <v>1.2</v>
      </c>
      <c r="E115" s="377" t="s">
        <v>10</v>
      </c>
      <c r="F115" s="339"/>
      <c r="G115" s="439" t="s">
        <v>478</v>
      </c>
      <c r="H115" s="886">
        <v>45323</v>
      </c>
      <c r="I115" s="832">
        <f>I120</f>
        <v>474031.0208920891</v>
      </c>
      <c r="J115" s="833">
        <f>I115-$I$112</f>
        <v>133565.36130780092</v>
      </c>
      <c r="K115" s="893">
        <f>J115/$I$112</f>
        <v>0.39230200623136413</v>
      </c>
      <c r="L115" s="87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1:18" ht="20.25" customHeight="1">
      <c r="A116" s="339"/>
      <c r="B116" s="377"/>
      <c r="C116" s="377"/>
      <c r="D116" s="780"/>
      <c r="E116" s="377"/>
      <c r="F116" s="339"/>
      <c r="G116" s="339"/>
      <c r="H116" s="886">
        <v>45352</v>
      </c>
      <c r="I116" s="832">
        <f>G120</f>
        <v>494115.7256787724</v>
      </c>
      <c r="J116" s="833">
        <f>I116-$I$112</f>
        <v>153650.06609448418</v>
      </c>
      <c r="K116" s="893">
        <f>J116/$I$112</f>
        <v>0.4512938728742639</v>
      </c>
      <c r="L116" s="879"/>
      <c r="M116" s="47"/>
      <c r="N116" s="47"/>
      <c r="O116" s="47"/>
      <c r="P116" s="47"/>
      <c r="Q116" s="47"/>
      <c r="R116" s="47"/>
    </row>
    <row r="117" spans="1:18" ht="20.25" customHeight="1" thickBot="1">
      <c r="A117" s="339"/>
      <c r="B117" s="425" t="s">
        <v>11</v>
      </c>
      <c r="C117" s="425"/>
      <c r="D117" s="506">
        <f>PUNTOSbasicos</f>
        <v>971</v>
      </c>
      <c r="E117" s="377" t="s">
        <v>12</v>
      </c>
      <c r="F117" s="426" t="s">
        <v>357</v>
      </c>
      <c r="G117" s="427">
        <f>puntosproljornada+puntosjornadacompleta</f>
        <v>0</v>
      </c>
      <c r="H117" s="886">
        <v>45383</v>
      </c>
      <c r="I117" s="832">
        <f>E120</f>
        <v>506170.25230513886</v>
      </c>
      <c r="J117" s="833">
        <f>I117-$I$112</f>
        <v>165704.59272085066</v>
      </c>
      <c r="K117" s="893">
        <f>J117/$I$112</f>
        <v>0.4866998713561231</v>
      </c>
      <c r="L117" s="879"/>
      <c r="M117" s="47"/>
      <c r="N117" s="47"/>
      <c r="O117" s="47"/>
      <c r="P117" s="47"/>
      <c r="Q117" s="47"/>
      <c r="R117" s="47"/>
    </row>
    <row r="118" spans="1:18" ht="20.25" customHeight="1">
      <c r="A118" s="339"/>
      <c r="B118" s="377"/>
      <c r="C118" s="377"/>
      <c r="D118" s="780"/>
      <c r="E118" s="377"/>
      <c r="F118" s="339"/>
      <c r="G118" s="339"/>
      <c r="H118" s="911"/>
      <c r="I118" s="912"/>
      <c r="J118" s="914"/>
      <c r="K118" s="913"/>
      <c r="L118" s="879"/>
      <c r="M118" s="47"/>
      <c r="N118" s="47"/>
      <c r="O118" s="47"/>
      <c r="P118" s="47"/>
      <c r="Q118" s="47"/>
      <c r="R118" s="47"/>
    </row>
    <row r="119" spans="1:8" ht="15">
      <c r="A119" s="339"/>
      <c r="E119" s="2"/>
      <c r="F119" s="2"/>
      <c r="G119" s="47"/>
      <c r="H119" s="47"/>
    </row>
    <row r="120" spans="1:14" ht="24" thickBot="1">
      <c r="A120" s="339"/>
      <c r="B120" s="377"/>
      <c r="C120" s="377"/>
      <c r="D120" s="906" t="str">
        <f>D174</f>
        <v>Líquido </v>
      </c>
      <c r="E120" s="894">
        <f>E146</f>
        <v>506170.25230513886</v>
      </c>
      <c r="F120" s="895"/>
      <c r="G120" s="894">
        <f>G146</f>
        <v>494115.7256787724</v>
      </c>
      <c r="H120" s="895"/>
      <c r="I120" s="894">
        <f>I146</f>
        <v>474031.0208920891</v>
      </c>
      <c r="J120" s="895"/>
      <c r="K120" s="894">
        <f>K146</f>
        <v>401720.87524058676</v>
      </c>
      <c r="L120" s="895"/>
      <c r="M120" s="894">
        <f>M174</f>
        <v>340465.6595842882</v>
      </c>
      <c r="N120" s="895"/>
    </row>
    <row r="121" spans="1:14" ht="24.75" thickBot="1" thickTop="1">
      <c r="A121" s="339"/>
      <c r="B121" s="377"/>
      <c r="C121" s="377"/>
      <c r="D121" s="965"/>
      <c r="E121" s="894"/>
      <c r="F121" s="981" t="s">
        <v>521</v>
      </c>
      <c r="G121" s="894"/>
      <c r="H121" s="981" t="s">
        <v>521</v>
      </c>
      <c r="I121" s="894"/>
      <c r="J121" s="981" t="s">
        <v>521</v>
      </c>
      <c r="K121" s="894">
        <f>K147</f>
        <v>426720.87524058676</v>
      </c>
      <c r="L121" s="967"/>
      <c r="M121" s="966"/>
      <c r="N121" s="967"/>
    </row>
    <row r="122" spans="1:14" ht="21.75" thickBot="1" thickTop="1">
      <c r="A122" s="339"/>
      <c r="B122" s="13"/>
      <c r="C122" s="631"/>
      <c r="D122" s="632"/>
      <c r="E122" s="901">
        <v>45383</v>
      </c>
      <c r="F122" s="902">
        <v>0.4668</v>
      </c>
      <c r="G122" s="901">
        <v>45352</v>
      </c>
      <c r="H122" s="902">
        <v>0.4514</v>
      </c>
      <c r="I122" s="901">
        <v>45323</v>
      </c>
      <c r="J122" s="902">
        <f>1.18*1.18-1</f>
        <v>0.39239999999999986</v>
      </c>
      <c r="K122" s="901">
        <v>45292</v>
      </c>
      <c r="L122" s="902">
        <v>0.18</v>
      </c>
      <c r="M122" s="901">
        <v>45261</v>
      </c>
      <c r="N122" s="902">
        <f>aumento10-1</f>
        <v>1.4117000000000002</v>
      </c>
    </row>
    <row r="123" spans="1:14" ht="15">
      <c r="A123" s="339"/>
      <c r="B123" s="403">
        <f aca="true" t="shared" si="14" ref="B123:B133">B177</f>
        <v>400</v>
      </c>
      <c r="C123" s="429"/>
      <c r="D123" s="507" t="str">
        <f aca="true" t="shared" si="15" ref="D123:E133">D177</f>
        <v>Sueldo básico</v>
      </c>
      <c r="E123" s="905">
        <f t="shared" si="15"/>
        <v>109992.61756999997</v>
      </c>
      <c r="F123" s="646"/>
      <c r="G123" s="905">
        <f aca="true" t="shared" si="16" ref="G123:G133">G177</f>
        <v>107373.13339199999</v>
      </c>
      <c r="H123" s="646"/>
      <c r="I123" s="905">
        <f aca="true" t="shared" si="17" ref="I123:I133">I177</f>
        <v>103008.65346199999</v>
      </c>
      <c r="J123" s="646"/>
      <c r="K123" s="905">
        <f aca="true" t="shared" si="18" ref="K123:M133">K177</f>
        <v>87295.44285479999</v>
      </c>
      <c r="L123" s="646"/>
      <c r="M123" s="905">
        <f t="shared" si="18"/>
        <v>73979.18886</v>
      </c>
      <c r="N123" s="646"/>
    </row>
    <row r="124" spans="1:14" ht="15.75" thickBot="1">
      <c r="A124" s="339"/>
      <c r="B124" s="404">
        <f t="shared" si="14"/>
        <v>542</v>
      </c>
      <c r="C124" s="404"/>
      <c r="D124" s="508" t="str">
        <f t="shared" si="15"/>
        <v>Dec 1266/08 Art 4º</v>
      </c>
      <c r="E124" s="562">
        <f t="shared" si="15"/>
        <v>46976.249748999995</v>
      </c>
      <c r="F124" s="647"/>
      <c r="G124" s="562">
        <f t="shared" si="16"/>
        <v>45857.50609439999</v>
      </c>
      <c r="H124" s="647"/>
      <c r="I124" s="562">
        <f t="shared" si="17"/>
        <v>43993.50009339999</v>
      </c>
      <c r="J124" s="647"/>
      <c r="K124" s="562">
        <f t="shared" si="18"/>
        <v>37282.61601635999</v>
      </c>
      <c r="L124" s="647"/>
      <c r="M124" s="562">
        <f t="shared" si="18"/>
        <v>31595.437301999995</v>
      </c>
      <c r="N124" s="647"/>
    </row>
    <row r="125" spans="1:14" ht="15">
      <c r="A125" s="339"/>
      <c r="B125" s="405" t="str">
        <f t="shared" si="14"/>
        <v>424/428</v>
      </c>
      <c r="C125" s="405"/>
      <c r="D125" s="509" t="str">
        <f t="shared" si="15"/>
        <v>Adic directivos</v>
      </c>
      <c r="E125" s="563">
        <f t="shared" si="15"/>
        <v>0</v>
      </c>
      <c r="F125" s="648"/>
      <c r="G125" s="563">
        <f t="shared" si="16"/>
        <v>0</v>
      </c>
      <c r="H125" s="648"/>
      <c r="I125" s="563">
        <f t="shared" si="17"/>
        <v>0</v>
      </c>
      <c r="J125" s="648"/>
      <c r="K125" s="563">
        <f t="shared" si="18"/>
        <v>0</v>
      </c>
      <c r="L125" s="648"/>
      <c r="M125" s="563">
        <f t="shared" si="18"/>
        <v>0</v>
      </c>
      <c r="N125" s="648"/>
    </row>
    <row r="126" spans="1:14" ht="15">
      <c r="A126" s="339"/>
      <c r="B126" s="456">
        <f t="shared" si="14"/>
        <v>430</v>
      </c>
      <c r="C126" s="456"/>
      <c r="D126" s="510" t="str">
        <f t="shared" si="15"/>
        <v>Adicional Nina</v>
      </c>
      <c r="E126" s="564">
        <f t="shared" si="15"/>
        <v>0</v>
      </c>
      <c r="F126" s="649"/>
      <c r="G126" s="564">
        <f t="shared" si="16"/>
        <v>0</v>
      </c>
      <c r="H126" s="649"/>
      <c r="I126" s="564">
        <f t="shared" si="17"/>
        <v>0</v>
      </c>
      <c r="J126" s="649"/>
      <c r="K126" s="564">
        <f t="shared" si="18"/>
        <v>0</v>
      </c>
      <c r="L126" s="649"/>
      <c r="M126" s="564">
        <f t="shared" si="18"/>
        <v>0</v>
      </c>
      <c r="N126" s="649"/>
    </row>
    <row r="127" spans="1:14" ht="15">
      <c r="A127" s="339"/>
      <c r="B127" s="406">
        <f t="shared" si="14"/>
        <v>404</v>
      </c>
      <c r="C127" s="430"/>
      <c r="D127" s="511" t="str">
        <f t="shared" si="15"/>
        <v>Función diferencial</v>
      </c>
      <c r="E127" s="562">
        <f t="shared" si="15"/>
        <v>0</v>
      </c>
      <c r="F127" s="650"/>
      <c r="G127" s="562">
        <f t="shared" si="16"/>
        <v>0</v>
      </c>
      <c r="H127" s="650"/>
      <c r="I127" s="562">
        <f t="shared" si="17"/>
        <v>0</v>
      </c>
      <c r="J127" s="650"/>
      <c r="K127" s="562">
        <f t="shared" si="18"/>
        <v>0</v>
      </c>
      <c r="L127" s="650"/>
      <c r="M127" s="562">
        <f t="shared" si="18"/>
        <v>0</v>
      </c>
      <c r="N127" s="650"/>
    </row>
    <row r="128" spans="1:14" ht="15">
      <c r="A128" s="339"/>
      <c r="B128" s="406">
        <f t="shared" si="14"/>
        <v>406</v>
      </c>
      <c r="C128" s="430"/>
      <c r="D128" s="508" t="str">
        <f t="shared" si="15"/>
        <v>Antigüedad</v>
      </c>
      <c r="E128" s="562">
        <f t="shared" si="15"/>
        <v>188362.64078279995</v>
      </c>
      <c r="F128" s="647"/>
      <c r="G128" s="562">
        <f t="shared" si="16"/>
        <v>183876.76738367995</v>
      </c>
      <c r="H128" s="647"/>
      <c r="I128" s="562">
        <f t="shared" si="17"/>
        <v>176402.58426647997</v>
      </c>
      <c r="J128" s="647"/>
      <c r="K128" s="562">
        <f t="shared" si="18"/>
        <v>149493.67064539195</v>
      </c>
      <c r="L128" s="647"/>
      <c r="M128" s="562">
        <f t="shared" si="18"/>
        <v>126689.55139439998</v>
      </c>
      <c r="N128" s="647"/>
    </row>
    <row r="129" spans="1:14" ht="15">
      <c r="A129" s="339"/>
      <c r="B129" s="406">
        <f t="shared" si="14"/>
        <v>408</v>
      </c>
      <c r="C129" s="430"/>
      <c r="D129" s="508" t="str">
        <f t="shared" si="15"/>
        <v>Bon zona esc</v>
      </c>
      <c r="E129" s="562">
        <f t="shared" si="15"/>
        <v>0</v>
      </c>
      <c r="F129" s="647"/>
      <c r="G129" s="562">
        <f t="shared" si="16"/>
        <v>0</v>
      </c>
      <c r="H129" s="647"/>
      <c r="I129" s="562">
        <f t="shared" si="17"/>
        <v>0</v>
      </c>
      <c r="J129" s="647"/>
      <c r="K129" s="562">
        <f t="shared" si="18"/>
        <v>0</v>
      </c>
      <c r="L129" s="647"/>
      <c r="M129" s="562">
        <f t="shared" si="18"/>
        <v>0</v>
      </c>
      <c r="N129" s="647"/>
    </row>
    <row r="130" spans="1:14" ht="15">
      <c r="A130" s="339"/>
      <c r="B130" s="406">
        <f t="shared" si="14"/>
        <v>416</v>
      </c>
      <c r="C130" s="430"/>
      <c r="D130" s="508" t="str">
        <f t="shared" si="15"/>
        <v>prolong. Jorn - Docente</v>
      </c>
      <c r="E130" s="562">
        <f t="shared" si="15"/>
        <v>0</v>
      </c>
      <c r="F130" s="647"/>
      <c r="G130" s="562">
        <f t="shared" si="16"/>
        <v>0</v>
      </c>
      <c r="H130" s="647"/>
      <c r="I130" s="562">
        <f t="shared" si="17"/>
        <v>0</v>
      </c>
      <c r="J130" s="647"/>
      <c r="K130" s="562">
        <f t="shared" si="18"/>
        <v>0</v>
      </c>
      <c r="L130" s="647"/>
      <c r="M130" s="562">
        <f t="shared" si="18"/>
        <v>0</v>
      </c>
      <c r="N130" s="647"/>
    </row>
    <row r="131" spans="1:14" ht="15">
      <c r="A131" s="339"/>
      <c r="B131" s="406">
        <f t="shared" si="14"/>
        <v>432</v>
      </c>
      <c r="C131" s="430"/>
      <c r="D131" s="508" t="str">
        <f t="shared" si="15"/>
        <v>Dto. 1109/05 (cod 06 act)</v>
      </c>
      <c r="E131" s="562">
        <f t="shared" si="15"/>
        <v>145505.66768400001</v>
      </c>
      <c r="F131" s="647"/>
      <c r="G131" s="562">
        <f t="shared" si="16"/>
        <v>142040.4034686</v>
      </c>
      <c r="H131" s="647"/>
      <c r="I131" s="562">
        <f t="shared" si="17"/>
        <v>136266.78</v>
      </c>
      <c r="J131" s="647"/>
      <c r="K131" s="562">
        <f t="shared" si="18"/>
        <v>115480.03146947543</v>
      </c>
      <c r="L131" s="647"/>
      <c r="M131" s="562">
        <f t="shared" si="18"/>
        <v>97886.94781200001</v>
      </c>
      <c r="N131" s="647"/>
    </row>
    <row r="132" spans="1:14" ht="15.75" thickBot="1">
      <c r="A132" s="339"/>
      <c r="B132" s="406">
        <f t="shared" si="14"/>
        <v>434</v>
      </c>
      <c r="C132" s="430"/>
      <c r="D132" s="508" t="str">
        <f t="shared" si="15"/>
        <v>Traslado cod 188</v>
      </c>
      <c r="E132" s="562">
        <f t="shared" si="15"/>
        <v>33257.62186395207</v>
      </c>
      <c r="F132" s="647"/>
      <c r="G132" s="562">
        <f t="shared" si="16"/>
        <v>32465.58620705029</v>
      </c>
      <c r="H132" s="647"/>
      <c r="I132" s="562">
        <f t="shared" si="17"/>
        <v>31145.93236725502</v>
      </c>
      <c r="J132" s="647"/>
      <c r="K132" s="562">
        <f t="shared" si="18"/>
        <v>26394.83632782357</v>
      </c>
      <c r="L132" s="647"/>
      <c r="M132" s="562">
        <f t="shared" si="18"/>
        <v>22370.09803035462</v>
      </c>
      <c r="N132" s="647"/>
    </row>
    <row r="133" spans="1:14" ht="15.75" thickTop="1">
      <c r="A133" s="339"/>
      <c r="B133" s="600">
        <f t="shared" si="14"/>
        <v>437</v>
      </c>
      <c r="C133" s="431"/>
      <c r="D133" s="512" t="str">
        <f t="shared" si="15"/>
        <v>DTO. N1462/18 DOCENT</v>
      </c>
      <c r="E133" s="605">
        <f t="shared" si="15"/>
        <v>9277.43870972</v>
      </c>
      <c r="F133" s="609"/>
      <c r="G133" s="605">
        <f t="shared" si="16"/>
        <v>9056.493526737999</v>
      </c>
      <c r="H133" s="609"/>
      <c r="I133" s="605">
        <f t="shared" si="17"/>
        <v>8688.3674</v>
      </c>
      <c r="J133" s="609"/>
      <c r="K133" s="605">
        <f t="shared" si="18"/>
        <v>7363.0710113195255</v>
      </c>
      <c r="L133" s="609"/>
      <c r="M133" s="605">
        <f t="shared" si="18"/>
        <v>6241.326215880001</v>
      </c>
      <c r="N133" s="609"/>
    </row>
    <row r="134" spans="1:14" ht="15.75">
      <c r="A134" s="339"/>
      <c r="B134" s="404"/>
      <c r="C134" s="404"/>
      <c r="D134" s="404" t="str">
        <f>D188</f>
        <v>Otros</v>
      </c>
      <c r="E134" s="601">
        <v>0</v>
      </c>
      <c r="F134" s="651"/>
      <c r="G134" s="601">
        <v>0</v>
      </c>
      <c r="H134" s="651"/>
      <c r="I134" s="601">
        <v>0</v>
      </c>
      <c r="J134" s="651"/>
      <c r="K134" s="601">
        <v>0</v>
      </c>
      <c r="L134" s="651"/>
      <c r="M134" s="601">
        <v>0</v>
      </c>
      <c r="N134" s="651"/>
    </row>
    <row r="135" spans="1:14" ht="18">
      <c r="A135" s="339"/>
      <c r="B135" s="404"/>
      <c r="C135" s="404"/>
      <c r="D135" s="594" t="str">
        <f>D189</f>
        <v>Haberes</v>
      </c>
      <c r="E135" s="173">
        <f>E189</f>
        <v>533372.2363594719</v>
      </c>
      <c r="F135" s="652"/>
      <c r="G135" s="173">
        <f aca="true" t="shared" si="19" ref="G135:G144">G189</f>
        <v>520669.89007246826</v>
      </c>
      <c r="H135" s="652"/>
      <c r="I135" s="173">
        <f aca="true" t="shared" si="20" ref="I135:K144">I189</f>
        <v>499505.81758913497</v>
      </c>
      <c r="J135" s="652"/>
      <c r="K135" s="173">
        <f t="shared" si="20"/>
        <v>423309.66832517047</v>
      </c>
      <c r="L135" s="652"/>
      <c r="M135" s="173">
        <f>M189</f>
        <v>358762.54961463454</v>
      </c>
      <c r="N135" s="652"/>
    </row>
    <row r="136" spans="1:14" ht="18">
      <c r="A136" s="339"/>
      <c r="B136" s="404"/>
      <c r="C136" s="404"/>
      <c r="D136" s="594" t="s">
        <v>516</v>
      </c>
      <c r="E136" s="930">
        <f>E190</f>
        <v>0</v>
      </c>
      <c r="F136" s="652"/>
      <c r="G136" s="930">
        <f t="shared" si="19"/>
        <v>0</v>
      </c>
      <c r="H136" s="652"/>
      <c r="I136" s="930">
        <f t="shared" si="20"/>
        <v>0</v>
      </c>
      <c r="J136" s="652"/>
      <c r="K136" s="930">
        <f t="shared" si="20"/>
        <v>25000</v>
      </c>
      <c r="L136" s="652"/>
      <c r="M136" s="173"/>
      <c r="N136" s="652"/>
    </row>
    <row r="137" spans="1:14" ht="18">
      <c r="A137" s="339"/>
      <c r="B137" s="404"/>
      <c r="C137" s="404"/>
      <c r="D137" s="594" t="s">
        <v>518</v>
      </c>
      <c r="E137" s="173">
        <f>E191</f>
        <v>533372.2363594719</v>
      </c>
      <c r="F137" s="652"/>
      <c r="G137" s="173">
        <f t="shared" si="19"/>
        <v>520669.89007246826</v>
      </c>
      <c r="H137" s="652"/>
      <c r="I137" s="173">
        <f t="shared" si="20"/>
        <v>499505.81758913497</v>
      </c>
      <c r="J137" s="652"/>
      <c r="K137" s="173">
        <f t="shared" si="20"/>
        <v>448309.66832517047</v>
      </c>
      <c r="L137" s="652"/>
      <c r="M137" s="173"/>
      <c r="N137" s="652"/>
    </row>
    <row r="138" spans="1:14" ht="15">
      <c r="A138" s="339"/>
      <c r="B138" s="404">
        <f aca="true" t="shared" si="21" ref="B138:E139">B192</f>
        <v>703</v>
      </c>
      <c r="C138" s="455">
        <f t="shared" si="21"/>
        <v>0.0025</v>
      </c>
      <c r="D138" s="595" t="str">
        <f t="shared" si="21"/>
        <v>Federación de  jubil</v>
      </c>
      <c r="E138" s="602">
        <f t="shared" si="21"/>
        <v>1333.4305908986798</v>
      </c>
      <c r="F138" s="653"/>
      <c r="G138" s="602">
        <f t="shared" si="19"/>
        <v>1301.6747251811707</v>
      </c>
      <c r="H138" s="653"/>
      <c r="I138" s="602">
        <f t="shared" si="20"/>
        <v>1248.7645439728374</v>
      </c>
      <c r="J138" s="653"/>
      <c r="K138" s="602">
        <f t="shared" si="20"/>
        <v>1058.2741708129263</v>
      </c>
      <c r="L138" s="653"/>
      <c r="M138" s="602">
        <f aca="true" t="shared" si="22" ref="M138:M144">M192</f>
        <v>896.9063740365864</v>
      </c>
      <c r="N138" s="653"/>
    </row>
    <row r="139" spans="1:14" ht="15">
      <c r="A139" s="339"/>
      <c r="B139" s="407">
        <f t="shared" si="21"/>
        <v>707</v>
      </c>
      <c r="C139" s="433">
        <f t="shared" si="21"/>
        <v>0.03</v>
      </c>
      <c r="D139" s="508" t="str">
        <f t="shared" si="21"/>
        <v>Aporte IOSPER</v>
      </c>
      <c r="E139" s="568">
        <f t="shared" si="21"/>
        <v>16001.167090784156</v>
      </c>
      <c r="F139" s="647"/>
      <c r="G139" s="568">
        <f t="shared" si="19"/>
        <v>15620.096702174047</v>
      </c>
      <c r="H139" s="647"/>
      <c r="I139" s="568">
        <f t="shared" si="20"/>
        <v>14985.174527674048</v>
      </c>
      <c r="J139" s="647"/>
      <c r="K139" s="568">
        <f t="shared" si="20"/>
        <v>12699.290049755113</v>
      </c>
      <c r="L139" s="647"/>
      <c r="M139" s="568">
        <f t="shared" si="22"/>
        <v>10762.876488439037</v>
      </c>
      <c r="N139" s="647"/>
    </row>
    <row r="140" spans="1:14" ht="15.75">
      <c r="A140" s="339"/>
      <c r="B140" s="407">
        <f>B194</f>
        <v>709</v>
      </c>
      <c r="C140" s="434">
        <v>0.0015</v>
      </c>
      <c r="D140" s="508" t="str">
        <f aca="true" t="shared" si="23" ref="D140:E144">D194</f>
        <v>Seguro ley 3011</v>
      </c>
      <c r="E140" s="568">
        <f t="shared" si="23"/>
        <v>800.0583545392079</v>
      </c>
      <c r="F140" s="647"/>
      <c r="G140" s="568">
        <f t="shared" si="19"/>
        <v>781.0048351087024</v>
      </c>
      <c r="H140" s="647"/>
      <c r="I140" s="568">
        <f t="shared" si="20"/>
        <v>749.2587263837024</v>
      </c>
      <c r="J140" s="647"/>
      <c r="K140" s="568">
        <f t="shared" si="20"/>
        <v>634.9645024877557</v>
      </c>
      <c r="L140" s="647"/>
      <c r="M140" s="568">
        <f t="shared" si="22"/>
        <v>538.1438244219519</v>
      </c>
      <c r="N140" s="647"/>
    </row>
    <row r="141" spans="1:14" ht="15">
      <c r="A141" s="339"/>
      <c r="B141" s="407">
        <f>B195</f>
        <v>713</v>
      </c>
      <c r="C141" s="435">
        <f>C195</f>
        <v>0.007</v>
      </c>
      <c r="D141" s="508" t="str">
        <f t="shared" si="23"/>
        <v>Serv Sepelio IAPS</v>
      </c>
      <c r="E141" s="568">
        <f t="shared" si="23"/>
        <v>3733.6056545163037</v>
      </c>
      <c r="F141" s="647"/>
      <c r="G141" s="568">
        <f t="shared" si="19"/>
        <v>3644.689230507278</v>
      </c>
      <c r="H141" s="647"/>
      <c r="I141" s="568">
        <f t="shared" si="20"/>
        <v>3496.5407231239446</v>
      </c>
      <c r="J141" s="647"/>
      <c r="K141" s="568">
        <f t="shared" si="20"/>
        <v>2963.1676782761933</v>
      </c>
      <c r="L141" s="647"/>
      <c r="M141" s="568">
        <f t="shared" si="22"/>
        <v>2511.337847302442</v>
      </c>
      <c r="N141" s="647"/>
    </row>
    <row r="142" spans="1:14" ht="15">
      <c r="A142" s="339"/>
      <c r="B142" s="407">
        <f>B196</f>
        <v>787</v>
      </c>
      <c r="C142" s="433">
        <f>C196</f>
        <v>0.01</v>
      </c>
      <c r="D142" s="508" t="str">
        <f t="shared" si="23"/>
        <v>Desc AGMER 1 %</v>
      </c>
      <c r="E142" s="568">
        <f t="shared" si="23"/>
        <v>5333.722363594719</v>
      </c>
      <c r="F142" s="647"/>
      <c r="G142" s="568">
        <f t="shared" si="19"/>
        <v>5206.698900724683</v>
      </c>
      <c r="H142" s="647"/>
      <c r="I142" s="568">
        <f t="shared" si="20"/>
        <v>4995.0581758913495</v>
      </c>
      <c r="J142" s="647"/>
      <c r="K142" s="568">
        <f t="shared" si="20"/>
        <v>4233.096683251705</v>
      </c>
      <c r="L142" s="647"/>
      <c r="M142" s="568">
        <f t="shared" si="22"/>
        <v>3587.6254961463455</v>
      </c>
      <c r="N142" s="647"/>
    </row>
    <row r="143" spans="1:14" ht="16.5" thickBot="1">
      <c r="A143" s="339"/>
      <c r="B143" s="377"/>
      <c r="C143" s="436"/>
      <c r="D143" s="513" t="str">
        <f t="shared" si="23"/>
        <v>Otros descuentos</v>
      </c>
      <c r="E143" s="569">
        <f t="shared" si="23"/>
        <v>0</v>
      </c>
      <c r="F143" s="654"/>
      <c r="G143" s="569">
        <f t="shared" si="19"/>
        <v>0</v>
      </c>
      <c r="H143" s="654"/>
      <c r="I143" s="569">
        <f t="shared" si="20"/>
        <v>0</v>
      </c>
      <c r="J143" s="654"/>
      <c r="K143" s="569">
        <f t="shared" si="20"/>
        <v>0</v>
      </c>
      <c r="L143" s="654"/>
      <c r="M143" s="569">
        <f t="shared" si="22"/>
        <v>0</v>
      </c>
      <c r="N143" s="654"/>
    </row>
    <row r="144" spans="1:14" ht="16.5" thickBot="1">
      <c r="A144" s="339"/>
      <c r="B144" s="377"/>
      <c r="C144" s="377"/>
      <c r="D144" s="514" t="str">
        <f t="shared" si="23"/>
        <v>Descuentos</v>
      </c>
      <c r="E144" s="566">
        <f t="shared" si="23"/>
        <v>27201.98405433307</v>
      </c>
      <c r="F144" s="613"/>
      <c r="G144" s="566">
        <f t="shared" si="19"/>
        <v>26554.16439369588</v>
      </c>
      <c r="H144" s="613"/>
      <c r="I144" s="566">
        <f t="shared" si="20"/>
        <v>25474.79669704588</v>
      </c>
      <c r="J144" s="613"/>
      <c r="K144" s="566">
        <f t="shared" si="20"/>
        <v>21588.793084583693</v>
      </c>
      <c r="L144" s="613"/>
      <c r="M144" s="566">
        <f t="shared" si="22"/>
        <v>18296.89003034636</v>
      </c>
      <c r="N144" s="613"/>
    </row>
    <row r="145" spans="1:14" ht="16.5" thickBot="1">
      <c r="A145" s="339"/>
      <c r="B145" s="95"/>
      <c r="C145" s="437"/>
      <c r="D145" s="781"/>
      <c r="E145" s="570"/>
      <c r="F145" s="584"/>
      <c r="G145" s="570"/>
      <c r="H145" s="584"/>
      <c r="I145" s="570"/>
      <c r="J145" s="584"/>
      <c r="K145" s="570"/>
      <c r="L145" s="584"/>
      <c r="M145" s="570"/>
      <c r="N145" s="584"/>
    </row>
    <row r="146" spans="1:14" ht="24" thickBot="1">
      <c r="A146" s="339"/>
      <c r="B146" s="450"/>
      <c r="C146" s="761"/>
      <c r="D146" s="516" t="str">
        <f>D200</f>
        <v>Líquido</v>
      </c>
      <c r="E146" s="880">
        <f>E200</f>
        <v>506170.25230513886</v>
      </c>
      <c r="F146" s="881"/>
      <c r="G146" s="880">
        <f>G200</f>
        <v>494115.7256787724</v>
      </c>
      <c r="H146" s="881"/>
      <c r="I146" s="880">
        <f>I200</f>
        <v>474031.0208920891</v>
      </c>
      <c r="J146" s="881"/>
      <c r="K146" s="880">
        <f>K200</f>
        <v>401720.87524058676</v>
      </c>
      <c r="L146" s="881"/>
      <c r="M146" s="880">
        <f>M200</f>
        <v>340465.6595842882</v>
      </c>
      <c r="N146" s="881"/>
    </row>
    <row r="147" spans="1:14" ht="24" thickBot="1">
      <c r="A147" s="339"/>
      <c r="B147" s="450"/>
      <c r="C147" s="450"/>
      <c r="D147" s="517" t="s">
        <v>521</v>
      </c>
      <c r="E147" s="880"/>
      <c r="F147" s="979" t="s">
        <v>521</v>
      </c>
      <c r="G147" s="880"/>
      <c r="H147" s="979" t="s">
        <v>521</v>
      </c>
      <c r="I147" s="880"/>
      <c r="J147" s="979" t="s">
        <v>521</v>
      </c>
      <c r="K147" s="880">
        <f>K201</f>
        <v>426720.87524058676</v>
      </c>
      <c r="L147" s="820"/>
      <c r="M147" s="819"/>
      <c r="N147" s="820"/>
    </row>
    <row r="148" spans="1:14" ht="21" thickBot="1">
      <c r="A148" s="339"/>
      <c r="B148" s="450"/>
      <c r="C148" s="450"/>
      <c r="D148" s="517"/>
      <c r="E148" s="819"/>
      <c r="F148" s="820"/>
      <c r="G148" s="819"/>
      <c r="H148" s="820"/>
      <c r="I148" s="819"/>
      <c r="J148" s="820"/>
      <c r="K148" s="819"/>
      <c r="L148" s="820"/>
      <c r="M148" s="819"/>
      <c r="N148" s="820"/>
    </row>
    <row r="149" spans="1:14" ht="21" thickTop="1">
      <c r="A149" s="339"/>
      <c r="B149" s="339"/>
      <c r="C149" s="458"/>
      <c r="D149" s="518" t="str">
        <f>D203</f>
        <v>Aumento mensual</v>
      </c>
      <c r="E149" s="821">
        <f>E203</f>
        <v>12054.526626366482</v>
      </c>
      <c r="F149" s="822"/>
      <c r="G149" s="821">
        <f>G203</f>
        <v>20084.704786683258</v>
      </c>
      <c r="H149" s="822"/>
      <c r="I149" s="821">
        <f>I203</f>
        <v>72310.14565150236</v>
      </c>
      <c r="J149" s="822"/>
      <c r="K149" s="821">
        <f>K203</f>
        <v>61255.21565629856</v>
      </c>
      <c r="L149" s="822"/>
      <c r="M149" s="821"/>
      <c r="N149" s="822"/>
    </row>
    <row r="150" spans="1:14" ht="21" thickBot="1">
      <c r="A150" s="339"/>
      <c r="B150" s="546"/>
      <c r="C150" s="458"/>
      <c r="D150" s="519" t="str">
        <f>D204</f>
        <v>Aum porcentual</v>
      </c>
      <c r="E150" s="943">
        <f>E204</f>
        <v>0.02439616065610347</v>
      </c>
      <c r="F150" s="835"/>
      <c r="G150" s="943">
        <f>G204</f>
        <v>0.042370022005913076</v>
      </c>
      <c r="H150" s="835"/>
      <c r="I150" s="943">
        <f>I204</f>
        <v>0.18000096611408734</v>
      </c>
      <c r="J150" s="835"/>
      <c r="K150" s="943">
        <f>K204</f>
        <v>0.17991598838805584</v>
      </c>
      <c r="L150" s="835"/>
      <c r="M150" s="834"/>
      <c r="N150" s="835"/>
    </row>
    <row r="151" spans="1:14" ht="21.75" thickBot="1" thickTop="1">
      <c r="A151" s="339"/>
      <c r="B151" s="339"/>
      <c r="C151" s="458"/>
      <c r="D151" s="663">
        <f>D205</f>
        <v>0</v>
      </c>
      <c r="E151" s="823"/>
      <c r="F151" s="824"/>
      <c r="G151" s="823"/>
      <c r="H151" s="824"/>
      <c r="I151" s="823"/>
      <c r="J151" s="824"/>
      <c r="K151" s="823"/>
      <c r="L151" s="824"/>
      <c r="M151" s="823"/>
      <c r="N151" s="824"/>
    </row>
    <row r="152" spans="1:14" ht="21.75" thickBot="1" thickTop="1">
      <c r="A152" s="339"/>
      <c r="B152" s="339"/>
      <c r="C152" s="458"/>
      <c r="D152" s="939"/>
      <c r="E152" s="940"/>
      <c r="F152" s="980"/>
      <c r="G152" s="940"/>
      <c r="H152" s="980"/>
      <c r="I152" s="940">
        <f>I206</f>
        <v>47310.14565150236</v>
      </c>
      <c r="J152" s="980"/>
      <c r="K152" s="940">
        <f>K206</f>
        <v>86255.21565629856</v>
      </c>
      <c r="L152" s="824"/>
      <c r="M152" s="823"/>
      <c r="N152" s="824"/>
    </row>
    <row r="153" spans="1:14" ht="21" thickTop="1">
      <c r="A153" s="339"/>
      <c r="B153" s="339"/>
      <c r="C153" s="458"/>
      <c r="D153" s="939"/>
      <c r="E153" s="941"/>
      <c r="F153" s="980"/>
      <c r="G153" s="941"/>
      <c r="H153" s="980"/>
      <c r="I153" s="941">
        <f>I207</f>
        <v>0.11086906780651107</v>
      </c>
      <c r="J153" s="980"/>
      <c r="K153" s="941">
        <f>K207</f>
        <v>0.2533448329608836</v>
      </c>
      <c r="L153" s="824"/>
      <c r="M153" s="823"/>
      <c r="N153" s="824"/>
    </row>
    <row r="154" spans="1:14" ht="21" thickBot="1">
      <c r="A154" s="339"/>
      <c r="B154" s="339"/>
      <c r="C154" s="458"/>
      <c r="D154" s="663"/>
      <c r="E154" s="823"/>
      <c r="F154" s="824"/>
      <c r="G154" s="823"/>
      <c r="H154" s="824"/>
      <c r="I154" s="823"/>
      <c r="J154" s="824"/>
      <c r="K154" s="823"/>
      <c r="L154" s="824"/>
      <c r="M154" s="823"/>
      <c r="N154" s="824"/>
    </row>
    <row r="155" spans="1:14" ht="21" thickTop="1">
      <c r="A155" s="339"/>
      <c r="B155" s="339"/>
      <c r="C155" s="458"/>
      <c r="D155" s="664" t="str">
        <f aca="true" t="shared" si="24" ref="D155:E157">D209</f>
        <v>Aumento acumulado anual</v>
      </c>
      <c r="E155" s="825">
        <f t="shared" si="24"/>
        <v>165704.59272085066</v>
      </c>
      <c r="F155" s="822"/>
      <c r="G155" s="825">
        <f>G209</f>
        <v>153650.06609448418</v>
      </c>
      <c r="H155" s="822"/>
      <c r="I155" s="825">
        <f>I209</f>
        <v>133565.36130780092</v>
      </c>
      <c r="J155" s="822"/>
      <c r="K155" s="825">
        <f>K209</f>
        <v>61255.21565629856</v>
      </c>
      <c r="L155" s="822"/>
      <c r="M155" s="825"/>
      <c r="N155" s="822"/>
    </row>
    <row r="156" spans="1:14" ht="21" thickBot="1">
      <c r="A156" s="339"/>
      <c r="B156" s="339"/>
      <c r="C156" s="458"/>
      <c r="D156" s="666" t="str">
        <f t="shared" si="24"/>
        <v>Acumulado porcentual</v>
      </c>
      <c r="E156" s="942">
        <f t="shared" si="24"/>
        <v>0.4866998713561231</v>
      </c>
      <c r="F156" s="835"/>
      <c r="G156" s="942">
        <f>G210</f>
        <v>0.4512938728742639</v>
      </c>
      <c r="H156" s="835"/>
      <c r="I156" s="942">
        <f>I210</f>
        <v>0.39230200623136413</v>
      </c>
      <c r="J156" s="835"/>
      <c r="K156" s="942">
        <f>K210</f>
        <v>0.17991598838805584</v>
      </c>
      <c r="L156" s="835"/>
      <c r="M156" s="836"/>
      <c r="N156" s="835"/>
    </row>
    <row r="157" spans="1:14" ht="17.25" thickBot="1" thickTop="1">
      <c r="A157" s="339"/>
      <c r="B157" s="339"/>
      <c r="C157" s="458"/>
      <c r="D157" s="606">
        <f t="shared" si="24"/>
        <v>0</v>
      </c>
      <c r="E157" s="668">
        <f t="shared" si="24"/>
        <v>0</v>
      </c>
      <c r="F157" s="662"/>
      <c r="G157" s="668">
        <f>G211</f>
        <v>0</v>
      </c>
      <c r="H157" s="662"/>
      <c r="I157" s="668">
        <f>I211</f>
        <v>0</v>
      </c>
      <c r="J157" s="662"/>
      <c r="K157" s="668">
        <f>K211</f>
        <v>0</v>
      </c>
      <c r="L157" s="662"/>
      <c r="M157" s="668">
        <f>M211</f>
        <v>0</v>
      </c>
      <c r="N157" s="662"/>
    </row>
    <row r="158" spans="1:14" ht="21" thickTop="1">
      <c r="A158" s="339"/>
      <c r="B158" s="339"/>
      <c r="C158" s="458"/>
      <c r="D158" s="520" t="str">
        <f>D215</f>
        <v>MEDIO AGUINALDO</v>
      </c>
      <c r="E158" s="575"/>
      <c r="F158" s="617"/>
      <c r="G158" s="575"/>
      <c r="H158" s="617"/>
      <c r="I158" s="575"/>
      <c r="J158" s="617"/>
      <c r="K158" s="575"/>
      <c r="L158" s="617"/>
      <c r="M158" s="575"/>
      <c r="N158" s="617"/>
    </row>
    <row r="159" spans="1:14" ht="15">
      <c r="A159" s="339"/>
      <c r="B159" s="339"/>
      <c r="C159" s="458"/>
      <c r="D159" s="521"/>
      <c r="E159" s="576"/>
      <c r="F159" s="618"/>
      <c r="G159" s="576"/>
      <c r="H159" s="618"/>
      <c r="I159" s="576"/>
      <c r="J159" s="618"/>
      <c r="K159" s="576"/>
      <c r="L159" s="618"/>
      <c r="M159" s="576"/>
      <c r="N159" s="618"/>
    </row>
    <row r="160" spans="1:14" ht="15.75">
      <c r="A160" s="339"/>
      <c r="B160" s="339"/>
      <c r="C160" s="458"/>
      <c r="D160" s="522" t="str">
        <f>D217</f>
        <v>Código 550</v>
      </c>
      <c r="E160" s="577">
        <f>E217</f>
        <v>266686.11817973596</v>
      </c>
      <c r="F160" s="619"/>
      <c r="G160" s="577">
        <f>G217</f>
        <v>260334.94503623413</v>
      </c>
      <c r="H160" s="619"/>
      <c r="I160" s="577">
        <f>I217</f>
        <v>249752.90879456748</v>
      </c>
      <c r="J160" s="619"/>
      <c r="K160" s="577">
        <f>K217</f>
        <v>211654.83416258523</v>
      </c>
      <c r="L160" s="619"/>
      <c r="M160" s="577">
        <f>M217</f>
        <v>179381.27480731727</v>
      </c>
      <c r="N160" s="619"/>
    </row>
    <row r="161" spans="1:14" ht="15">
      <c r="A161" s="339"/>
      <c r="B161" s="339"/>
      <c r="C161" s="339"/>
      <c r="D161" s="782"/>
      <c r="E161" s="576"/>
      <c r="F161" s="618"/>
      <c r="G161" s="576"/>
      <c r="H161" s="618"/>
      <c r="I161" s="576"/>
      <c r="J161" s="618"/>
      <c r="K161" s="576"/>
      <c r="L161" s="618"/>
      <c r="M161" s="576"/>
      <c r="N161" s="618"/>
    </row>
    <row r="162" spans="1:14" ht="15.75">
      <c r="A162" s="339"/>
      <c r="B162" s="339"/>
      <c r="C162" s="339"/>
      <c r="D162" s="522" t="str">
        <f aca="true" t="shared" si="25" ref="D162:D168">D219</f>
        <v>Descuentos</v>
      </c>
      <c r="E162" s="576"/>
      <c r="F162" s="619"/>
      <c r="G162" s="576"/>
      <c r="H162" s="619"/>
      <c r="I162" s="576"/>
      <c r="J162" s="619"/>
      <c r="K162" s="576"/>
      <c r="L162" s="619"/>
      <c r="M162" s="576"/>
      <c r="N162" s="619"/>
    </row>
    <row r="163" spans="1:14" ht="15">
      <c r="A163" s="339"/>
      <c r="B163" s="406">
        <f>B220</f>
        <v>703</v>
      </c>
      <c r="C163" s="455">
        <f>C220</f>
        <v>0.0025</v>
      </c>
      <c r="D163" s="523" t="str">
        <f t="shared" si="25"/>
        <v>Federación de  jubil</v>
      </c>
      <c r="E163" s="578">
        <f aca="true" t="shared" si="26" ref="E163:E168">E220</f>
        <v>666.7152954493399</v>
      </c>
      <c r="F163" s="611"/>
      <c r="G163" s="578">
        <f aca="true" t="shared" si="27" ref="G163:G168">G220</f>
        <v>650.8373625905854</v>
      </c>
      <c r="H163" s="611"/>
      <c r="I163" s="578">
        <f aca="true" t="shared" si="28" ref="I163:I168">I220</f>
        <v>624.3822719864187</v>
      </c>
      <c r="J163" s="611"/>
      <c r="K163" s="578">
        <f aca="true" t="shared" si="29" ref="K163:M168">K220</f>
        <v>529.1370854064631</v>
      </c>
      <c r="L163" s="611"/>
      <c r="M163" s="578">
        <f t="shared" si="29"/>
        <v>448.4531870182932</v>
      </c>
      <c r="N163" s="611"/>
    </row>
    <row r="164" spans="1:14" ht="15">
      <c r="A164" s="339"/>
      <c r="B164" s="407">
        <f>B221</f>
        <v>707</v>
      </c>
      <c r="C164" s="433">
        <f>C221</f>
        <v>0.03</v>
      </c>
      <c r="D164" s="524" t="str">
        <f t="shared" si="25"/>
        <v>Aporte IOSPER</v>
      </c>
      <c r="E164" s="578">
        <f t="shared" si="26"/>
        <v>8000.583545392078</v>
      </c>
      <c r="F164" s="608"/>
      <c r="G164" s="578">
        <f t="shared" si="27"/>
        <v>7810.048351087024</v>
      </c>
      <c r="H164" s="608"/>
      <c r="I164" s="578">
        <f t="shared" si="28"/>
        <v>7492.587263837024</v>
      </c>
      <c r="J164" s="608"/>
      <c r="K164" s="578">
        <f t="shared" si="29"/>
        <v>6349.645024877556</v>
      </c>
      <c r="L164" s="608"/>
      <c r="M164" s="578">
        <f t="shared" si="29"/>
        <v>5381.438244219518</v>
      </c>
      <c r="N164" s="608"/>
    </row>
    <row r="165" spans="1:14" ht="15.75">
      <c r="A165" s="339"/>
      <c r="B165" s="407">
        <f>B222</f>
        <v>709</v>
      </c>
      <c r="C165" s="434">
        <v>0.0015</v>
      </c>
      <c r="D165" s="524" t="str">
        <f t="shared" si="25"/>
        <v>Seguro ley 3011</v>
      </c>
      <c r="E165" s="578">
        <f t="shared" si="26"/>
        <v>400.02917726960396</v>
      </c>
      <c r="F165" s="608"/>
      <c r="G165" s="578">
        <f t="shared" si="27"/>
        <v>390.5024175543512</v>
      </c>
      <c r="H165" s="608"/>
      <c r="I165" s="578">
        <f t="shared" si="28"/>
        <v>374.6293631918512</v>
      </c>
      <c r="J165" s="608"/>
      <c r="K165" s="578">
        <f t="shared" si="29"/>
        <v>317.48225124387784</v>
      </c>
      <c r="L165" s="608"/>
      <c r="M165" s="578">
        <f t="shared" si="29"/>
        <v>269.07191221097594</v>
      </c>
      <c r="N165" s="608"/>
    </row>
    <row r="166" spans="1:14" ht="15">
      <c r="A166" s="339"/>
      <c r="B166" s="407">
        <f>B223</f>
        <v>713</v>
      </c>
      <c r="C166" s="435">
        <f>C223</f>
        <v>0.007</v>
      </c>
      <c r="D166" s="524" t="str">
        <f t="shared" si="25"/>
        <v>Serv Sepelio IAPS</v>
      </c>
      <c r="E166" s="578">
        <f t="shared" si="26"/>
        <v>1866.8028272581519</v>
      </c>
      <c r="F166" s="608"/>
      <c r="G166" s="578">
        <f t="shared" si="27"/>
        <v>1822.344615253639</v>
      </c>
      <c r="H166" s="608"/>
      <c r="I166" s="578">
        <f t="shared" si="28"/>
        <v>1748.2703615619723</v>
      </c>
      <c r="J166" s="608"/>
      <c r="K166" s="578">
        <f t="shared" si="29"/>
        <v>1481.5838391380967</v>
      </c>
      <c r="L166" s="608"/>
      <c r="M166" s="578">
        <f t="shared" si="29"/>
        <v>1255.668923651221</v>
      </c>
      <c r="N166" s="608"/>
    </row>
    <row r="167" spans="1:14" ht="15.75" thickBot="1">
      <c r="A167" s="339"/>
      <c r="B167" s="407">
        <f>B224</f>
        <v>787</v>
      </c>
      <c r="C167" s="433">
        <f>C224</f>
        <v>0.01</v>
      </c>
      <c r="D167" s="524" t="str">
        <f t="shared" si="25"/>
        <v>Desc AGMER 1 %</v>
      </c>
      <c r="E167" s="578">
        <f t="shared" si="26"/>
        <v>2666.8611817973597</v>
      </c>
      <c r="F167" s="608"/>
      <c r="G167" s="578">
        <f t="shared" si="27"/>
        <v>2603.3494503623415</v>
      </c>
      <c r="H167" s="608"/>
      <c r="I167" s="578">
        <f t="shared" si="28"/>
        <v>2497.5290879456747</v>
      </c>
      <c r="J167" s="608"/>
      <c r="K167" s="578">
        <f t="shared" si="29"/>
        <v>2116.5483416258526</v>
      </c>
      <c r="L167" s="608"/>
      <c r="M167" s="578">
        <f t="shared" si="29"/>
        <v>1793.8127480731728</v>
      </c>
      <c r="N167" s="608"/>
    </row>
    <row r="168" spans="1:14" ht="16.5" thickBot="1">
      <c r="A168" s="339"/>
      <c r="B168" s="339"/>
      <c r="C168" s="339"/>
      <c r="D168" s="525" t="str">
        <f t="shared" si="25"/>
        <v>Total Descuentos</v>
      </c>
      <c r="E168" s="579">
        <f t="shared" si="26"/>
        <v>13600.992027166534</v>
      </c>
      <c r="F168" s="613"/>
      <c r="G168" s="579">
        <f t="shared" si="27"/>
        <v>13277.08219684794</v>
      </c>
      <c r="H168" s="613"/>
      <c r="I168" s="579">
        <f t="shared" si="28"/>
        <v>12737.39834852294</v>
      </c>
      <c r="J168" s="613"/>
      <c r="K168" s="579">
        <f t="shared" si="29"/>
        <v>10794.396542291846</v>
      </c>
      <c r="L168" s="613"/>
      <c r="M168" s="579">
        <f t="shared" si="29"/>
        <v>9148.44501517318</v>
      </c>
      <c r="N168" s="613"/>
    </row>
    <row r="169" spans="1:14" ht="16.5" thickBot="1">
      <c r="A169" s="339"/>
      <c r="B169" s="339"/>
      <c r="C169" s="339"/>
      <c r="D169" s="526"/>
      <c r="E169" s="815"/>
      <c r="F169" s="816"/>
      <c r="G169" s="815"/>
      <c r="H169" s="816"/>
      <c r="I169" s="815"/>
      <c r="J169" s="816"/>
      <c r="K169" s="815"/>
      <c r="L169" s="816"/>
      <c r="M169" s="815"/>
      <c r="N169" s="816"/>
    </row>
    <row r="170" spans="1:14" ht="21" thickBot="1">
      <c r="A170" s="339"/>
      <c r="B170" s="339"/>
      <c r="C170" s="339"/>
      <c r="D170" s="527" t="str">
        <f>D227</f>
        <v>Líquido</v>
      </c>
      <c r="E170" s="817">
        <f>E227</f>
        <v>253085.12615256943</v>
      </c>
      <c r="F170" s="818"/>
      <c r="G170" s="817">
        <f>G227</f>
        <v>247057.8628393862</v>
      </c>
      <c r="H170" s="818"/>
      <c r="I170" s="817">
        <f>I227</f>
        <v>237015.51044604456</v>
      </c>
      <c r="J170" s="818"/>
      <c r="K170" s="817">
        <f>K227</f>
        <v>200860.43762029338</v>
      </c>
      <c r="L170" s="818"/>
      <c r="M170" s="817">
        <f>M227</f>
        <v>170232.8297921441</v>
      </c>
      <c r="N170" s="818"/>
    </row>
    <row r="171" spans="1:14" ht="15.75" thickTop="1">
      <c r="A171" s="339"/>
      <c r="D171" s="488"/>
      <c r="E171" s="582"/>
      <c r="F171" s="336"/>
      <c r="G171" s="582"/>
      <c r="H171" s="336"/>
      <c r="I171" s="582"/>
      <c r="J171" s="336"/>
      <c r="K171" s="582"/>
      <c r="L171" s="336"/>
      <c r="M171" s="582"/>
      <c r="N171" s="336"/>
    </row>
    <row r="172" spans="1:14" ht="15.75" hidden="1">
      <c r="A172" s="339"/>
      <c r="B172" s="95"/>
      <c r="C172" s="95"/>
      <c r="D172" s="379"/>
      <c r="E172" s="377"/>
      <c r="F172" s="785"/>
      <c r="G172" s="377"/>
      <c r="H172" s="785"/>
      <c r="I172" s="377"/>
      <c r="J172" s="785"/>
      <c r="K172" s="377"/>
      <c r="L172" s="785"/>
      <c r="M172" s="377"/>
      <c r="N172" s="785"/>
    </row>
    <row r="173" spans="1:14" ht="16.5" hidden="1" thickBot="1">
      <c r="A173" s="339"/>
      <c r="B173" s="95"/>
      <c r="C173" s="95"/>
      <c r="D173" s="783"/>
      <c r="M173" s="377"/>
      <c r="N173" s="785"/>
    </row>
    <row r="174" spans="1:22" ht="23.25" customHeight="1" hidden="1" thickBot="1">
      <c r="A174" s="339"/>
      <c r="B174" s="671"/>
      <c r="C174" s="671"/>
      <c r="D174" s="672" t="s">
        <v>486</v>
      </c>
      <c r="E174" s="673">
        <f>E200</f>
        <v>506170.25230513886</v>
      </c>
      <c r="F174" s="672"/>
      <c r="G174" s="673">
        <f>G200</f>
        <v>494115.7256787724</v>
      </c>
      <c r="H174" s="672"/>
      <c r="I174" s="673">
        <f>I200</f>
        <v>474031.0208920891</v>
      </c>
      <c r="J174" s="672"/>
      <c r="K174" s="673">
        <f>K200</f>
        <v>401720.87524058676</v>
      </c>
      <c r="L174" s="672"/>
      <c r="M174" s="673">
        <f>M200</f>
        <v>340465.6595842882</v>
      </c>
      <c r="N174" s="672"/>
      <c r="O174" s="339"/>
      <c r="P174" s="339"/>
      <c r="Q174" s="47"/>
      <c r="R174" s="47"/>
      <c r="S174" s="47"/>
      <c r="T174" s="47"/>
      <c r="U174" s="47"/>
      <c r="V174" s="47"/>
    </row>
    <row r="175" spans="1:22" ht="23.25" customHeight="1" hidden="1" thickBot="1">
      <c r="A175" s="339"/>
      <c r="B175" s="671"/>
      <c r="C175" s="671"/>
      <c r="D175" s="672" t="s">
        <v>521</v>
      </c>
      <c r="E175" s="673"/>
      <c r="F175" s="965"/>
      <c r="G175" s="673"/>
      <c r="H175" s="965"/>
      <c r="I175" s="673"/>
      <c r="J175" s="965"/>
      <c r="K175" s="673">
        <f>K201</f>
        <v>426720.87524058676</v>
      </c>
      <c r="L175" s="965"/>
      <c r="M175" s="966"/>
      <c r="N175" s="965"/>
      <c r="O175" s="339"/>
      <c r="P175" s="339"/>
      <c r="Q175" s="47"/>
      <c r="R175" s="47"/>
      <c r="S175" s="47"/>
      <c r="T175" s="47"/>
      <c r="U175" s="47"/>
      <c r="V175" s="47"/>
    </row>
    <row r="176" spans="2:14" ht="33" customHeight="1" hidden="1" thickBot="1">
      <c r="B176" s="675"/>
      <c r="C176" s="676"/>
      <c r="D176" s="677"/>
      <c r="E176" s="901">
        <v>45383</v>
      </c>
      <c r="F176" s="902">
        <v>0.4668</v>
      </c>
      <c r="G176" s="901">
        <v>45352</v>
      </c>
      <c r="H176" s="902">
        <v>0.4514</v>
      </c>
      <c r="I176" s="901">
        <v>45323</v>
      </c>
      <c r="J176" s="902">
        <f>1.18*1.18-1</f>
        <v>0.39239999999999986</v>
      </c>
      <c r="K176" s="901">
        <v>45292</v>
      </c>
      <c r="L176" s="902">
        <v>0.18</v>
      </c>
      <c r="M176" s="901">
        <v>45261</v>
      </c>
      <c r="N176" s="902">
        <f>aumento10-1</f>
        <v>1.4117000000000002</v>
      </c>
    </row>
    <row r="177" spans="2:14" ht="15.75" hidden="1" thickBot="1">
      <c r="B177" s="678">
        <v>400</v>
      </c>
      <c r="C177" s="678"/>
      <c r="D177" s="678" t="s">
        <v>13</v>
      </c>
      <c r="E177" s="679">
        <f>punbasjub*indiceabr24*porjubcar*frac</f>
        <v>109992.61756999997</v>
      </c>
      <c r="F177" s="674"/>
      <c r="G177" s="679">
        <f>punbasjub*indicemar24*porjubcar*frac</f>
        <v>107373.13339199999</v>
      </c>
      <c r="H177" s="674"/>
      <c r="I177" s="679">
        <f>punbasjub*indicefeb24*porjubcar*frac</f>
        <v>103008.65346199999</v>
      </c>
      <c r="J177" s="674"/>
      <c r="K177" s="679">
        <f>punbasjub*indiceene24*porjubcar*frac</f>
        <v>87295.44285479999</v>
      </c>
      <c r="L177" s="674"/>
      <c r="M177" s="679">
        <f>punbasjub*indicedic23*porjubcar*frac</f>
        <v>73979.18886</v>
      </c>
      <c r="N177" s="674"/>
    </row>
    <row r="178" spans="2:14" ht="15.75" hidden="1" thickBot="1">
      <c r="B178" s="678">
        <v>542</v>
      </c>
      <c r="C178" s="678"/>
      <c r="D178" s="678" t="s">
        <v>360</v>
      </c>
      <c r="E178" s="679">
        <f>compbasico2016*indiceabr24*porjubcar*frac</f>
        <v>46976.249748999995</v>
      </c>
      <c r="F178" s="674"/>
      <c r="G178" s="679">
        <f>compbasico2016*indicemar24*porjubcar*frac</f>
        <v>45857.50609439999</v>
      </c>
      <c r="H178" s="674"/>
      <c r="I178" s="679">
        <f>compbasico2016*indicefeb24*porjubcar*frac</f>
        <v>43993.50009339999</v>
      </c>
      <c r="J178" s="674"/>
      <c r="K178" s="679">
        <f>compbasico2016*indiceene24*porjubcar*frac</f>
        <v>37282.61601635999</v>
      </c>
      <c r="L178" s="674"/>
      <c r="M178" s="679">
        <f>compbasico2016*indicedic23*porjubcar*frac</f>
        <v>31595.437301999995</v>
      </c>
      <c r="N178" s="674"/>
    </row>
    <row r="179" spans="2:14" ht="15.75" hidden="1" thickBot="1">
      <c r="B179" s="680" t="s">
        <v>489</v>
      </c>
      <c r="C179" s="680"/>
      <c r="D179" s="671" t="s">
        <v>371</v>
      </c>
      <c r="E179" s="681">
        <f>IF(nina=0,puntosadicdir2022*indiceabr24*porjubcar*frac,puntosadicdir2016*indiceabr24*porjubcar*frac)</f>
        <v>0</v>
      </c>
      <c r="F179" s="674"/>
      <c r="G179" s="681">
        <f>IF(nina=0,puntosadicdir2022*indicemar24*porjubcar*frac,puntosadicdir2016*indicemar24*porjubcar*frac)</f>
        <v>0</v>
      </c>
      <c r="H179" s="674"/>
      <c r="I179" s="681">
        <f>IF(nina=0,puntosadicdir2022*indicefeb24*porjubcar*frac,puntosadicdir2016*indicefeb24*porjubcar*frac)</f>
        <v>0</v>
      </c>
      <c r="J179" s="674"/>
      <c r="K179" s="681">
        <f>IF(nina=0,puntosadicdir2022*indiceene24*porjubcar*frac,puntosadicdir2016*indiceene24*porjubcar*frac)</f>
        <v>0</v>
      </c>
      <c r="L179" s="674"/>
      <c r="M179" s="681">
        <f>IF(nina=0,puntosadicdir2022*indicedic23*porjubcar*frac,puntosadicdir2016*indicedic23*porjubcar*frac)</f>
        <v>0</v>
      </c>
      <c r="N179" s="674"/>
    </row>
    <row r="180" spans="2:14" ht="15.75" hidden="1" thickBot="1">
      <c r="B180" s="682">
        <v>430</v>
      </c>
      <c r="C180" s="682"/>
      <c r="D180" s="683" t="s">
        <v>477</v>
      </c>
      <c r="E180" s="684">
        <f>puntosadicnina*Indiceproljorabr24*porjubcar*frac</f>
        <v>0</v>
      </c>
      <c r="F180" s="685"/>
      <c r="G180" s="684">
        <f>puntosadicnina*Indiceproljormar24*porjubcar*frac</f>
        <v>0</v>
      </c>
      <c r="H180" s="685"/>
      <c r="I180" s="684">
        <f>puntosadicnina*Indiceproljorfeb24*porjubcar*frac</f>
        <v>0</v>
      </c>
      <c r="J180" s="685"/>
      <c r="K180" s="684">
        <f>puntosadicnina*Indiceproljorene24*porjubcar*frac</f>
        <v>0</v>
      </c>
      <c r="L180" s="685"/>
      <c r="M180" s="684">
        <f>puntosadicnina*indiceproljordic23*porjubcar*frac</f>
        <v>0</v>
      </c>
      <c r="N180" s="685"/>
    </row>
    <row r="181" spans="2:14" ht="15.75" hidden="1" thickBot="1">
      <c r="B181" s="678">
        <v>404</v>
      </c>
      <c r="C181" s="678"/>
      <c r="D181" s="686" t="s">
        <v>314</v>
      </c>
      <c r="E181" s="679">
        <f>puntostareadifer*indiceabr24*porjubcar*frac</f>
        <v>0</v>
      </c>
      <c r="F181" s="687"/>
      <c r="G181" s="679">
        <f>puntostareadifer*indicemar24*porjubcar*frac</f>
        <v>0</v>
      </c>
      <c r="H181" s="687"/>
      <c r="I181" s="679">
        <f>puntostareadifer*indicefeb24*porjubcar*frac</f>
        <v>0</v>
      </c>
      <c r="J181" s="687"/>
      <c r="K181" s="679">
        <f>puntostareadifer*indiceene24*porjubcar*frac</f>
        <v>0</v>
      </c>
      <c r="L181" s="687"/>
      <c r="M181" s="679">
        <f>puntostareadifer*indicedic23*porjubcar*frac</f>
        <v>0</v>
      </c>
      <c r="N181" s="687"/>
    </row>
    <row r="182" spans="2:14" ht="15.75" hidden="1" thickBot="1">
      <c r="B182" s="678">
        <v>406</v>
      </c>
      <c r="C182" s="678"/>
      <c r="D182" s="678" t="s">
        <v>14</v>
      </c>
      <c r="E182" s="679">
        <f>(E177+E178+E179+E180+E181+E184)*porcantigcargo</f>
        <v>188362.64078279995</v>
      </c>
      <c r="F182" s="674"/>
      <c r="G182" s="679">
        <f>(G177+G178+G179+G180+G181+G184)*porcantigcargo</f>
        <v>183876.76738367995</v>
      </c>
      <c r="H182" s="674"/>
      <c r="I182" s="679">
        <f>(I177+I178+I179+I180+I181+I184)*porcantigcargo</f>
        <v>176402.58426647997</v>
      </c>
      <c r="J182" s="674"/>
      <c r="K182" s="679">
        <f>(K177+K178+K179+K180+K181+K184)*porcantigcargo</f>
        <v>149493.67064539195</v>
      </c>
      <c r="L182" s="674"/>
      <c r="M182" s="679">
        <f>(M177+M178+M179+M180+M181+M184)*porcantigcargo</f>
        <v>126689.55139439998</v>
      </c>
      <c r="N182" s="674"/>
    </row>
    <row r="183" spans="2:14" ht="15.75" hidden="1" thickBot="1">
      <c r="B183" s="678">
        <v>408</v>
      </c>
      <c r="C183" s="678"/>
      <c r="D183" s="678" t="s">
        <v>331</v>
      </c>
      <c r="E183" s="679">
        <f>(E177+E178+E179+E180+E181+E184)*porczona</f>
        <v>0</v>
      </c>
      <c r="F183" s="674"/>
      <c r="G183" s="679">
        <f>(G177+G178+G179+G180+G181+G184)*porczona</f>
        <v>0</v>
      </c>
      <c r="H183" s="674"/>
      <c r="I183" s="679">
        <f>(I177+I178+I179+I180+I181+I184)*porczona</f>
        <v>0</v>
      </c>
      <c r="J183" s="674"/>
      <c r="K183" s="679">
        <f>(K177+K178+K179+K180+K181+K184)*porczona</f>
        <v>0</v>
      </c>
      <c r="L183" s="674"/>
      <c r="M183" s="679">
        <f>(M177+M178+M179+M180+M181+M184)*porczona</f>
        <v>0</v>
      </c>
      <c r="N183" s="674"/>
    </row>
    <row r="184" spans="2:14" ht="15.75" hidden="1" thickBot="1">
      <c r="B184" s="678">
        <v>416</v>
      </c>
      <c r="C184" s="678"/>
      <c r="D184" s="678" t="s">
        <v>315</v>
      </c>
      <c r="E184" s="679">
        <f>puntosproljor*Indiceproljorabr24*porjubcar*frac</f>
        <v>0</v>
      </c>
      <c r="F184" s="674"/>
      <c r="G184" s="679">
        <f>puntosproljor*Indiceproljormar24*porjubcar*frac</f>
        <v>0</v>
      </c>
      <c r="H184" s="674"/>
      <c r="I184" s="679">
        <f>puntosproljor*Indiceproljorfeb24*porjubcar*frac</f>
        <v>0</v>
      </c>
      <c r="J184" s="674"/>
      <c r="K184" s="679">
        <f>puntosproljor*Indiceproljorene24*porjubcar*frac</f>
        <v>0</v>
      </c>
      <c r="L184" s="674"/>
      <c r="M184" s="679">
        <f>puntosproljor*indiceproljordic23*porjubcar*frac</f>
        <v>0</v>
      </c>
      <c r="N184" s="674"/>
    </row>
    <row r="185" spans="2:14" ht="15.75" hidden="1" thickBot="1">
      <c r="B185" s="678">
        <v>432</v>
      </c>
      <c r="C185" s="678"/>
      <c r="D185" s="678" t="s">
        <v>329</v>
      </c>
      <c r="E185" s="679">
        <f>cod06feb24*porjubcar*frac*1.0678</f>
        <v>145505.66768400001</v>
      </c>
      <c r="F185" s="674"/>
      <c r="G185" s="679">
        <f>cod06feb24*porjubcar*frac*1.04237</f>
        <v>142040.4034686</v>
      </c>
      <c r="H185" s="674"/>
      <c r="I185" s="679">
        <f>cod06feb24*porjubcar*frac</f>
        <v>136266.78</v>
      </c>
      <c r="J185" s="674"/>
      <c r="K185" s="679">
        <f>cod06ene23*porjubcar*frac*Aumento11</f>
        <v>115480.03146947543</v>
      </c>
      <c r="L185" s="674"/>
      <c r="M185" s="679">
        <f>cod06ene23*porjubcar*frac*aumento10</f>
        <v>97886.94781200001</v>
      </c>
      <c r="N185" s="674"/>
    </row>
    <row r="186" spans="2:14" ht="15.75" hidden="1" thickBot="1">
      <c r="B186" s="678">
        <v>434</v>
      </c>
      <c r="C186" s="678"/>
      <c r="D186" s="678" t="s">
        <v>313</v>
      </c>
      <c r="E186" s="679">
        <f>(E177+E178+E179+E180+E181+E182+E183+E184+E185+E187)*0.07*0.95</f>
        <v>33257.62186395207</v>
      </c>
      <c r="F186" s="674"/>
      <c r="G186" s="679">
        <f>(G177+G178+G179+G180+G181+G182+G183+G184+G185+G187)*0.07*0.95</f>
        <v>32465.58620705029</v>
      </c>
      <c r="H186" s="674"/>
      <c r="I186" s="679">
        <f>(I177+I178+I179+I180+I181+I182+I183+I184+I185+I187)*0.07*0.95</f>
        <v>31145.93236725502</v>
      </c>
      <c r="J186" s="674"/>
      <c r="K186" s="679">
        <f>(K177+K178+K179+K180+K181+K182+K183+K184+K185+K187)*0.07*0.95</f>
        <v>26394.83632782357</v>
      </c>
      <c r="L186" s="674"/>
      <c r="M186" s="679">
        <f>(M177+M178+M179+M180+M181+M182+M183+M184+M185+M187)*0.07*0.95</f>
        <v>22370.09803035462</v>
      </c>
      <c r="N186" s="674"/>
    </row>
    <row r="187" spans="2:14" ht="15.75" hidden="1" thickBot="1">
      <c r="B187" s="678">
        <v>437</v>
      </c>
      <c r="C187" s="678"/>
      <c r="D187" s="688" t="s">
        <v>484</v>
      </c>
      <c r="E187" s="689">
        <f>IF(AND(puntosproljor&lt;620,PUNTOSbasicos&lt;2200),10595.57,21191.14)*porjubcar*frac*1.0678</f>
        <v>9277.43870972</v>
      </c>
      <c r="F187" s="690"/>
      <c r="G187" s="689">
        <f>IF(AND(puntosproljor&lt;620,PUNTOSbasicos&lt;2200),10595.57,21191.14)*porjubcar*frac*1.04237</f>
        <v>9056.493526737999</v>
      </c>
      <c r="H187" s="690"/>
      <c r="I187" s="689">
        <f>IF(AND(puntosproljor&lt;620,PUNTOSbasicos&lt;2200),10595.57,21191.14)*porjubcar*frac</f>
        <v>8688.3674</v>
      </c>
      <c r="J187" s="690"/>
      <c r="K187" s="689">
        <f>IF(AND(puntosproljor&lt;620,PUNTOSbasicos&lt;2200),3156.02,6312.04)*porjubcar*frac*Aumento11</f>
        <v>7363.0710113195255</v>
      </c>
      <c r="L187" s="690"/>
      <c r="M187" s="689">
        <f>IF(AND(puntosproljor&lt;620,PUNTOSbasicos&lt;2200),3156.02,6312.04)*porjubcar*frac*aumento10</f>
        <v>6241.326215880001</v>
      </c>
      <c r="N187" s="690"/>
    </row>
    <row r="188" spans="2:14" ht="16.5" hidden="1" thickBot="1">
      <c r="B188" s="678"/>
      <c r="C188" s="678"/>
      <c r="D188" s="678" t="s">
        <v>327</v>
      </c>
      <c r="E188" s="691">
        <f>E134</f>
        <v>0</v>
      </c>
      <c r="F188" s="674"/>
      <c r="G188" s="691">
        <f>G134</f>
        <v>0</v>
      </c>
      <c r="H188" s="674"/>
      <c r="I188" s="691">
        <f>I134</f>
        <v>0</v>
      </c>
      <c r="J188" s="674"/>
      <c r="K188" s="691">
        <f>K134</f>
        <v>0</v>
      </c>
      <c r="L188" s="674"/>
      <c r="M188" s="691">
        <f>M134</f>
        <v>0</v>
      </c>
      <c r="N188" s="674"/>
    </row>
    <row r="189" spans="2:14" ht="18.75" hidden="1" thickBot="1">
      <c r="B189" s="678"/>
      <c r="C189" s="678"/>
      <c r="D189" s="693" t="s">
        <v>15</v>
      </c>
      <c r="E189" s="931">
        <f>SUM(E177:E188)</f>
        <v>533372.2363594719</v>
      </c>
      <c r="F189" s="695"/>
      <c r="G189" s="931">
        <f>SUM(G177:G188)</f>
        <v>520669.89007246826</v>
      </c>
      <c r="H189" s="695"/>
      <c r="I189" s="931">
        <f>SUM(I177:I188)</f>
        <v>499505.81758913497</v>
      </c>
      <c r="J189" s="695"/>
      <c r="K189" s="931">
        <f>SUM(K177:K188)</f>
        <v>423309.66832517047</v>
      </c>
      <c r="L189" s="695"/>
      <c r="M189" s="694">
        <f>SUM(M177:M188)</f>
        <v>358762.54961463454</v>
      </c>
      <c r="N189" s="695"/>
    </row>
    <row r="190" spans="2:14" ht="18.75" hidden="1" thickBot="1">
      <c r="B190" s="678"/>
      <c r="C190" s="678"/>
      <c r="D190" s="693" t="s">
        <v>522</v>
      </c>
      <c r="E190" s="679">
        <v>0</v>
      </c>
      <c r="F190" s="695"/>
      <c r="G190" s="679">
        <v>0</v>
      </c>
      <c r="H190" s="695"/>
      <c r="I190" s="679">
        <v>0</v>
      </c>
      <c r="J190" s="695"/>
      <c r="K190" s="679">
        <v>25000</v>
      </c>
      <c r="L190" s="695"/>
      <c r="M190" s="694"/>
      <c r="N190" s="695"/>
    </row>
    <row r="191" spans="2:14" ht="18.75" hidden="1" thickBot="1">
      <c r="B191" s="678"/>
      <c r="C191" s="678"/>
      <c r="D191" s="693" t="s">
        <v>523</v>
      </c>
      <c r="E191" s="931">
        <f>E189+E190</f>
        <v>533372.2363594719</v>
      </c>
      <c r="F191" s="695"/>
      <c r="G191" s="931">
        <f>G189+G190</f>
        <v>520669.89007246826</v>
      </c>
      <c r="H191" s="695"/>
      <c r="I191" s="931">
        <f>I189+I190</f>
        <v>499505.81758913497</v>
      </c>
      <c r="J191" s="695"/>
      <c r="K191" s="931">
        <f>K189+K190</f>
        <v>448309.66832517047</v>
      </c>
      <c r="L191" s="695"/>
      <c r="M191" s="694"/>
      <c r="N191" s="695"/>
    </row>
    <row r="192" spans="2:14" ht="15.75" hidden="1" thickBot="1">
      <c r="B192" s="678">
        <v>703</v>
      </c>
      <c r="C192" s="697">
        <v>0.0025</v>
      </c>
      <c r="D192" s="698" t="s">
        <v>316</v>
      </c>
      <c r="E192" s="699">
        <f>(E189-E188)*$C192</f>
        <v>1333.4305908986798</v>
      </c>
      <c r="F192" s="700"/>
      <c r="G192" s="699">
        <f>(G189-G188)*$C192</f>
        <v>1301.6747251811707</v>
      </c>
      <c r="H192" s="700"/>
      <c r="I192" s="699">
        <f>(I189-I188)*$C192</f>
        <v>1248.7645439728374</v>
      </c>
      <c r="J192" s="700"/>
      <c r="K192" s="699">
        <f>(K189-K188)*$C192</f>
        <v>1058.2741708129263</v>
      </c>
      <c r="L192" s="700"/>
      <c r="M192" s="699">
        <f>(M189-M188)*$C192</f>
        <v>896.9063740365864</v>
      </c>
      <c r="N192" s="700"/>
    </row>
    <row r="193" spans="2:14" ht="15.75" hidden="1" thickBot="1">
      <c r="B193" s="671">
        <v>707</v>
      </c>
      <c r="C193" s="701">
        <v>0.03</v>
      </c>
      <c r="D193" s="678" t="s">
        <v>17</v>
      </c>
      <c r="E193" s="699">
        <f>(E189-E188)*$C193</f>
        <v>16001.167090784156</v>
      </c>
      <c r="F193" s="674"/>
      <c r="G193" s="699">
        <f>(G189-G188)*$C193</f>
        <v>15620.096702174047</v>
      </c>
      <c r="H193" s="674"/>
      <c r="I193" s="699">
        <f>(I189-I188)*$C193</f>
        <v>14985.174527674048</v>
      </c>
      <c r="J193" s="674"/>
      <c r="K193" s="699">
        <f>(K189-K188)*$C193</f>
        <v>12699.290049755113</v>
      </c>
      <c r="L193" s="674"/>
      <c r="M193" s="699">
        <f>(M189-M188)*$C193</f>
        <v>10762.876488439037</v>
      </c>
      <c r="N193" s="674"/>
    </row>
    <row r="194" spans="2:14" ht="16.5" hidden="1" thickBot="1">
      <c r="B194" s="671">
        <v>709</v>
      </c>
      <c r="C194" s="702">
        <f>C140</f>
        <v>0.0015</v>
      </c>
      <c r="D194" s="678" t="s">
        <v>18</v>
      </c>
      <c r="E194" s="699">
        <f>(E189-E188)*$C194</f>
        <v>800.0583545392079</v>
      </c>
      <c r="F194" s="674"/>
      <c r="G194" s="699">
        <f>(G189-G188)*$C194</f>
        <v>781.0048351087024</v>
      </c>
      <c r="H194" s="674"/>
      <c r="I194" s="699">
        <f>(I189-I188)*$C194</f>
        <v>749.2587263837024</v>
      </c>
      <c r="J194" s="674"/>
      <c r="K194" s="699">
        <f>(K189-K188)*$C194</f>
        <v>634.9645024877557</v>
      </c>
      <c r="L194" s="674"/>
      <c r="M194" s="699">
        <f>(M189-M188)*$C194</f>
        <v>538.1438244219519</v>
      </c>
      <c r="N194" s="674"/>
    </row>
    <row r="195" spans="2:14" ht="15.75" hidden="1" thickBot="1">
      <c r="B195" s="671">
        <v>713</v>
      </c>
      <c r="C195" s="703">
        <v>0.007</v>
      </c>
      <c r="D195" s="678" t="s">
        <v>20</v>
      </c>
      <c r="E195" s="699">
        <f>(E189-E188)*$C195</f>
        <v>3733.6056545163037</v>
      </c>
      <c r="F195" s="674"/>
      <c r="G195" s="699">
        <f>(G189-G188)*$C195</f>
        <v>3644.689230507278</v>
      </c>
      <c r="H195" s="674"/>
      <c r="I195" s="699">
        <f>(I189-I188)*$C195</f>
        <v>3496.5407231239446</v>
      </c>
      <c r="J195" s="674"/>
      <c r="K195" s="699">
        <f>(K189-K188)*$C195</f>
        <v>2963.1676782761933</v>
      </c>
      <c r="L195" s="674"/>
      <c r="M195" s="699">
        <f>(M189-M188)*$C195</f>
        <v>2511.337847302442</v>
      </c>
      <c r="N195" s="674"/>
    </row>
    <row r="196" spans="2:14" ht="15.75" hidden="1" thickBot="1">
      <c r="B196" s="671">
        <v>787</v>
      </c>
      <c r="C196" s="701">
        <v>0.01</v>
      </c>
      <c r="D196" s="678" t="s">
        <v>387</v>
      </c>
      <c r="E196" s="699">
        <f>(E189-E188)*$C196</f>
        <v>5333.722363594719</v>
      </c>
      <c r="F196" s="674"/>
      <c r="G196" s="699">
        <f>(G189-G188)*$C196</f>
        <v>5206.698900724683</v>
      </c>
      <c r="H196" s="674"/>
      <c r="I196" s="699">
        <f>(I189-I188)*$C196</f>
        <v>4995.0581758913495</v>
      </c>
      <c r="J196" s="674"/>
      <c r="K196" s="699">
        <f>(K189-K188)*$C196</f>
        <v>4233.096683251705</v>
      </c>
      <c r="L196" s="674"/>
      <c r="M196" s="699">
        <f>(M189-M188)*$C196</f>
        <v>3587.6254961463455</v>
      </c>
      <c r="N196" s="674"/>
    </row>
    <row r="197" spans="2:17" ht="16.5" hidden="1" thickBot="1">
      <c r="B197" s="671"/>
      <c r="C197" s="671"/>
      <c r="D197" s="678" t="s">
        <v>21</v>
      </c>
      <c r="E197" s="704"/>
      <c r="F197" s="674"/>
      <c r="G197" s="704"/>
      <c r="H197" s="674"/>
      <c r="I197" s="704"/>
      <c r="J197" s="674"/>
      <c r="K197" s="704"/>
      <c r="L197" s="674"/>
      <c r="M197" s="704"/>
      <c r="N197" s="674"/>
      <c r="O197" s="47"/>
      <c r="P197" s="47"/>
      <c r="Q197" s="47"/>
    </row>
    <row r="198" spans="2:16" ht="16.5" hidden="1" thickBot="1">
      <c r="B198" s="671"/>
      <c r="C198" s="671"/>
      <c r="D198" s="705" t="s">
        <v>22</v>
      </c>
      <c r="E198" s="694">
        <f>SUM(E192:E197)</f>
        <v>27201.98405433307</v>
      </c>
      <c r="F198" s="696"/>
      <c r="G198" s="694">
        <f>SUM(G192:G197)</f>
        <v>26554.16439369588</v>
      </c>
      <c r="H198" s="696"/>
      <c r="I198" s="694">
        <f>SUM(I192:I197)</f>
        <v>25474.79669704588</v>
      </c>
      <c r="J198" s="696"/>
      <c r="K198" s="694">
        <f>SUM(K192:K197)</f>
        <v>21588.793084583693</v>
      </c>
      <c r="L198" s="696"/>
      <c r="M198" s="694">
        <f>SUM(M192:M197)</f>
        <v>18296.89003034636</v>
      </c>
      <c r="N198" s="696"/>
      <c r="P198" s="10">
        <f>O192-P192</f>
        <v>0</v>
      </c>
    </row>
    <row r="199" spans="2:16" ht="16.5" hidden="1" thickBot="1">
      <c r="B199" s="706"/>
      <c r="C199" s="706"/>
      <c r="D199" s="678"/>
      <c r="E199" s="707"/>
      <c r="F199" s="674"/>
      <c r="G199" s="707"/>
      <c r="H199" s="674"/>
      <c r="I199" s="707"/>
      <c r="J199" s="674"/>
      <c r="K199" s="707"/>
      <c r="L199" s="674"/>
      <c r="M199" s="707"/>
      <c r="N199" s="674"/>
      <c r="P199" s="10">
        <f>O193-P193</f>
        <v>0</v>
      </c>
    </row>
    <row r="200" spans="2:16" ht="21" hidden="1" thickBot="1">
      <c r="B200" s="708"/>
      <c r="C200" s="708"/>
      <c r="D200" s="709" t="s">
        <v>23</v>
      </c>
      <c r="E200" s="932">
        <f>E189-E198</f>
        <v>506170.25230513886</v>
      </c>
      <c r="F200" s="933"/>
      <c r="G200" s="932">
        <f>G189-G198</f>
        <v>494115.7256787724</v>
      </c>
      <c r="H200" s="933"/>
      <c r="I200" s="932">
        <f>I189-I198</f>
        <v>474031.0208920891</v>
      </c>
      <c r="J200" s="933"/>
      <c r="K200" s="932">
        <f>K189-K198</f>
        <v>401720.87524058676</v>
      </c>
      <c r="L200" s="933"/>
      <c r="M200" s="932">
        <f>M189-M198</f>
        <v>340465.6595842882</v>
      </c>
      <c r="N200" s="874"/>
      <c r="P200" s="10">
        <f>P199-2640</f>
        <v>-2640</v>
      </c>
    </row>
    <row r="201" spans="2:16" ht="21" hidden="1" thickBot="1">
      <c r="B201" s="708"/>
      <c r="C201" s="708"/>
      <c r="D201" s="711" t="s">
        <v>521</v>
      </c>
      <c r="E201" s="934"/>
      <c r="F201" s="711" t="s">
        <v>528</v>
      </c>
      <c r="G201" s="934"/>
      <c r="H201" s="711" t="s">
        <v>528</v>
      </c>
      <c r="I201" s="934"/>
      <c r="J201" s="711" t="s">
        <v>528</v>
      </c>
      <c r="K201" s="934">
        <f>K191-K198</f>
        <v>426720.87524058676</v>
      </c>
      <c r="L201" s="935"/>
      <c r="M201" s="936"/>
      <c r="N201" s="713"/>
      <c r="P201" s="10">
        <f>P200-3838</f>
        <v>-6478</v>
      </c>
    </row>
    <row r="202" spans="2:14" ht="16.5" hidden="1" thickBot="1">
      <c r="B202" s="708"/>
      <c r="C202" s="708"/>
      <c r="D202" s="711"/>
      <c r="E202" s="712"/>
      <c r="F202" s="713"/>
      <c r="G202" s="712"/>
      <c r="H202" s="713"/>
      <c r="I202" s="712"/>
      <c r="J202" s="713"/>
      <c r="K202" s="712"/>
      <c r="L202" s="713"/>
      <c r="M202" s="712"/>
      <c r="N202" s="713"/>
    </row>
    <row r="203" spans="2:14" ht="16.5" hidden="1" thickBot="1">
      <c r="B203" s="671"/>
      <c r="C203" s="714"/>
      <c r="D203" s="715" t="s">
        <v>493</v>
      </c>
      <c r="E203" s="716">
        <f>E200-G200</f>
        <v>12054.526626366482</v>
      </c>
      <c r="F203" s="717"/>
      <c r="G203" s="716">
        <f>G200-I200</f>
        <v>20084.704786683258</v>
      </c>
      <c r="H203" s="717"/>
      <c r="I203" s="716">
        <f>I200-K200</f>
        <v>72310.14565150236</v>
      </c>
      <c r="J203" s="717"/>
      <c r="K203" s="716">
        <f>K200-M200</f>
        <v>61255.21565629856</v>
      </c>
      <c r="L203" s="717"/>
      <c r="M203" s="716"/>
      <c r="N203" s="717"/>
    </row>
    <row r="204" spans="2:14" ht="16.5" hidden="1" thickBot="1">
      <c r="B204" s="718"/>
      <c r="C204" s="714"/>
      <c r="D204" s="715" t="s">
        <v>488</v>
      </c>
      <c r="E204" s="919">
        <f>E203/G200</f>
        <v>0.02439616065610347</v>
      </c>
      <c r="F204" s="717"/>
      <c r="G204" s="919">
        <f>G203/I200</f>
        <v>0.042370022005913076</v>
      </c>
      <c r="H204" s="717"/>
      <c r="I204" s="919">
        <f>I203/K200</f>
        <v>0.18000096611408734</v>
      </c>
      <c r="J204" s="717"/>
      <c r="K204" s="919">
        <f>K203/M200</f>
        <v>0.17991598838805584</v>
      </c>
      <c r="L204" s="717"/>
      <c r="M204" s="719"/>
      <c r="N204" s="717"/>
    </row>
    <row r="205" spans="2:14" ht="15.75" hidden="1" thickBot="1">
      <c r="B205" s="671"/>
      <c r="C205" s="714"/>
      <c r="D205" s="678"/>
      <c r="E205" s="678"/>
      <c r="F205" s="674"/>
      <c r="G205" s="678"/>
      <c r="H205" s="674"/>
      <c r="I205" s="678"/>
      <c r="J205" s="674"/>
      <c r="K205" s="678"/>
      <c r="L205" s="674"/>
      <c r="M205" s="678"/>
      <c r="N205" s="674"/>
    </row>
    <row r="206" spans="2:14" ht="15.75" hidden="1" thickBot="1">
      <c r="B206" s="671"/>
      <c r="C206" s="714"/>
      <c r="D206" s="923"/>
      <c r="E206" s="937"/>
      <c r="F206" s="674"/>
      <c r="G206" s="937"/>
      <c r="H206" s="674"/>
      <c r="I206" s="937">
        <f>I200-K201</f>
        <v>47310.14565150236</v>
      </c>
      <c r="J206" s="674"/>
      <c r="K206" s="937">
        <f>K201-M200</f>
        <v>86255.21565629856</v>
      </c>
      <c r="L206" s="674"/>
      <c r="M206" s="678"/>
      <c r="N206" s="674"/>
    </row>
    <row r="207" spans="2:14" ht="15.75" hidden="1" thickBot="1">
      <c r="B207" s="671"/>
      <c r="C207" s="714"/>
      <c r="D207" s="923"/>
      <c r="E207" s="938"/>
      <c r="F207" s="674"/>
      <c r="G207" s="938"/>
      <c r="H207" s="674"/>
      <c r="I207" s="938">
        <f>I206/K201</f>
        <v>0.11086906780651107</v>
      </c>
      <c r="J207" s="674"/>
      <c r="K207" s="938">
        <f>K206/M200</f>
        <v>0.2533448329608836</v>
      </c>
      <c r="L207" s="674"/>
      <c r="M207" s="678"/>
      <c r="N207" s="674"/>
    </row>
    <row r="208" spans="2:14" ht="15.75" hidden="1" thickBot="1">
      <c r="B208" s="671"/>
      <c r="C208" s="714"/>
      <c r="D208" s="678"/>
      <c r="E208" s="678"/>
      <c r="F208" s="674"/>
      <c r="G208" s="678"/>
      <c r="H208" s="674"/>
      <c r="I208" s="678"/>
      <c r="J208" s="674"/>
      <c r="K208" s="678"/>
      <c r="L208" s="674"/>
      <c r="M208" s="678"/>
      <c r="N208" s="674"/>
    </row>
    <row r="209" spans="2:14" ht="16.5" hidden="1" thickBot="1">
      <c r="B209" s="671"/>
      <c r="C209" s="714"/>
      <c r="D209" s="720" t="s">
        <v>494</v>
      </c>
      <c r="E209" s="721">
        <f>E200-$M200</f>
        <v>165704.59272085066</v>
      </c>
      <c r="F209" s="717"/>
      <c r="G209" s="721">
        <f>G200-$M200</f>
        <v>153650.06609448418</v>
      </c>
      <c r="H209" s="717"/>
      <c r="I209" s="721">
        <f>I200-$M200</f>
        <v>133565.36130780092</v>
      </c>
      <c r="J209" s="717"/>
      <c r="K209" s="721">
        <f>K200-$M200</f>
        <v>61255.21565629856</v>
      </c>
      <c r="L209" s="717"/>
      <c r="M209" s="721"/>
      <c r="N209" s="717"/>
    </row>
    <row r="210" spans="2:14" ht="16.5" hidden="1" thickBot="1">
      <c r="B210" s="671"/>
      <c r="C210" s="714"/>
      <c r="D210" s="720" t="s">
        <v>500</v>
      </c>
      <c r="E210" s="722">
        <f>E209/$M200</f>
        <v>0.4866998713561231</v>
      </c>
      <c r="F210" s="717"/>
      <c r="G210" s="722">
        <f>G209/$M200</f>
        <v>0.4512938728742639</v>
      </c>
      <c r="H210" s="717"/>
      <c r="I210" s="722">
        <f>I209/$M200</f>
        <v>0.39230200623136413</v>
      </c>
      <c r="J210" s="717"/>
      <c r="K210" s="722">
        <f>K209/$M200</f>
        <v>0.17991598838805584</v>
      </c>
      <c r="L210" s="717"/>
      <c r="M210" s="722"/>
      <c r="N210" s="717"/>
    </row>
    <row r="211" spans="2:14" s="47" customFormat="1" ht="16.5" hidden="1" thickBot="1">
      <c r="B211" s="671"/>
      <c r="C211" s="714"/>
      <c r="D211" s="724"/>
      <c r="E211" s="723"/>
      <c r="F211" s="717"/>
      <c r="G211" s="723"/>
      <c r="H211" s="717"/>
      <c r="I211" s="723"/>
      <c r="J211" s="717"/>
      <c r="K211" s="723"/>
      <c r="L211" s="717"/>
      <c r="M211" s="723"/>
      <c r="N211" s="717"/>
    </row>
    <row r="212" spans="2:14" ht="16.5" hidden="1" thickBot="1">
      <c r="B212" s="671"/>
      <c r="C212" s="714"/>
      <c r="D212" s="720"/>
      <c r="E212" s="721"/>
      <c r="F212" s="717"/>
      <c r="G212" s="721"/>
      <c r="H212" s="717"/>
      <c r="I212" s="721"/>
      <c r="J212" s="717"/>
      <c r="K212" s="721"/>
      <c r="L212" s="717"/>
      <c r="M212" s="721"/>
      <c r="N212" s="717"/>
    </row>
    <row r="213" spans="2:14" ht="16.5" hidden="1" thickBot="1">
      <c r="B213" s="671"/>
      <c r="C213" s="714"/>
      <c r="D213" s="720"/>
      <c r="E213" s="725"/>
      <c r="F213" s="717"/>
      <c r="G213" s="725"/>
      <c r="H213" s="717"/>
      <c r="I213" s="725"/>
      <c r="J213" s="717"/>
      <c r="K213" s="725"/>
      <c r="L213" s="717"/>
      <c r="M213" s="725"/>
      <c r="N213" s="717"/>
    </row>
    <row r="214" spans="2:14" ht="15.75" hidden="1" thickBot="1">
      <c r="B214" s="671"/>
      <c r="C214" s="714"/>
      <c r="D214" s="726"/>
      <c r="E214" s="726"/>
      <c r="F214" s="727"/>
      <c r="G214" s="726"/>
      <c r="H214" s="727"/>
      <c r="I214" s="726"/>
      <c r="J214" s="727"/>
      <c r="K214" s="726"/>
      <c r="L214" s="727"/>
      <c r="M214" s="726"/>
      <c r="N214" s="727"/>
    </row>
    <row r="215" spans="2:14" ht="21" hidden="1" thickBot="1">
      <c r="B215" s="671"/>
      <c r="C215" s="714"/>
      <c r="D215" s="728" t="s">
        <v>479</v>
      </c>
      <c r="E215" s="729"/>
      <c r="F215" s="730"/>
      <c r="G215" s="729"/>
      <c r="H215" s="730"/>
      <c r="I215" s="729"/>
      <c r="J215" s="730"/>
      <c r="K215" s="729"/>
      <c r="L215" s="730"/>
      <c r="M215" s="729"/>
      <c r="N215" s="730"/>
    </row>
    <row r="216" spans="2:14" ht="15.75" hidden="1" thickBot="1">
      <c r="B216" s="671"/>
      <c r="C216" s="714"/>
      <c r="D216" s="731"/>
      <c r="E216" s="671"/>
      <c r="F216" s="692"/>
      <c r="G216" s="671"/>
      <c r="H216" s="692"/>
      <c r="I216" s="671"/>
      <c r="J216" s="692"/>
      <c r="K216" s="671"/>
      <c r="L216" s="692"/>
      <c r="M216" s="671"/>
      <c r="N216" s="692"/>
    </row>
    <row r="217" spans="2:14" ht="16.5" hidden="1" thickBot="1">
      <c r="B217" s="671"/>
      <c r="C217" s="714"/>
      <c r="D217" s="732" t="s">
        <v>480</v>
      </c>
      <c r="E217" s="733">
        <f>E189*0.5</f>
        <v>266686.11817973596</v>
      </c>
      <c r="F217" s="734"/>
      <c r="G217" s="733">
        <f>G189*0.5</f>
        <v>260334.94503623413</v>
      </c>
      <c r="H217" s="734"/>
      <c r="I217" s="733">
        <f>I189*0.5</f>
        <v>249752.90879456748</v>
      </c>
      <c r="J217" s="734"/>
      <c r="K217" s="733">
        <f>K189*0.5</f>
        <v>211654.83416258523</v>
      </c>
      <c r="L217" s="734"/>
      <c r="M217" s="733">
        <f>M189*0.5</f>
        <v>179381.27480731727</v>
      </c>
      <c r="N217" s="734"/>
    </row>
    <row r="218" spans="2:14" ht="15.75" hidden="1" thickBot="1">
      <c r="B218" s="671"/>
      <c r="C218" s="671"/>
      <c r="D218" s="731"/>
      <c r="E218" s="671"/>
      <c r="F218" s="692"/>
      <c r="G218" s="671"/>
      <c r="H218" s="692"/>
      <c r="I218" s="671"/>
      <c r="J218" s="692"/>
      <c r="K218" s="671"/>
      <c r="L218" s="692"/>
      <c r="M218" s="671"/>
      <c r="N218" s="692"/>
    </row>
    <row r="219" spans="2:14" ht="16.5" hidden="1" thickBot="1">
      <c r="B219" s="671"/>
      <c r="C219" s="671"/>
      <c r="D219" s="732" t="s">
        <v>22</v>
      </c>
      <c r="E219" s="671"/>
      <c r="F219" s="734"/>
      <c r="G219" s="671"/>
      <c r="H219" s="734"/>
      <c r="I219" s="671"/>
      <c r="J219" s="734"/>
      <c r="K219" s="671"/>
      <c r="L219" s="734"/>
      <c r="M219" s="671"/>
      <c r="N219" s="734"/>
    </row>
    <row r="220" spans="2:14" ht="15.75" hidden="1" thickBot="1">
      <c r="B220" s="678">
        <v>703</v>
      </c>
      <c r="C220" s="697">
        <v>0.0025</v>
      </c>
      <c r="D220" s="698" t="s">
        <v>316</v>
      </c>
      <c r="E220" s="699">
        <f>E217*0.0025</f>
        <v>666.7152954493399</v>
      </c>
      <c r="F220" s="700"/>
      <c r="G220" s="699">
        <f>G217*0.0025</f>
        <v>650.8373625905854</v>
      </c>
      <c r="H220" s="700"/>
      <c r="I220" s="699">
        <f>I217*0.0025</f>
        <v>624.3822719864187</v>
      </c>
      <c r="J220" s="700"/>
      <c r="K220" s="699">
        <f>K217*0.0025</f>
        <v>529.1370854064631</v>
      </c>
      <c r="L220" s="700"/>
      <c r="M220" s="699">
        <f>M217*0.0025</f>
        <v>448.4531870182932</v>
      </c>
      <c r="N220" s="700"/>
    </row>
    <row r="221" spans="2:14" ht="15.75" hidden="1" thickBot="1">
      <c r="B221" s="671">
        <v>707</v>
      </c>
      <c r="C221" s="701">
        <v>0.03</v>
      </c>
      <c r="D221" s="678" t="s">
        <v>17</v>
      </c>
      <c r="E221" s="699">
        <f>E217*0.03</f>
        <v>8000.583545392078</v>
      </c>
      <c r="F221" s="674"/>
      <c r="G221" s="699">
        <f>G217*0.03</f>
        <v>7810.048351087024</v>
      </c>
      <c r="H221" s="674"/>
      <c r="I221" s="699">
        <f>I217*0.03</f>
        <v>7492.587263837024</v>
      </c>
      <c r="J221" s="674"/>
      <c r="K221" s="699">
        <f>K217*0.03</f>
        <v>6349.645024877556</v>
      </c>
      <c r="L221" s="674"/>
      <c r="M221" s="699">
        <f>M217*0.03</f>
        <v>5381.438244219518</v>
      </c>
      <c r="N221" s="674"/>
    </row>
    <row r="222" spans="2:14" ht="16.5" hidden="1" thickBot="1">
      <c r="B222" s="671">
        <v>709</v>
      </c>
      <c r="C222" s="702">
        <f>C165</f>
        <v>0.0015</v>
      </c>
      <c r="D222" s="678" t="s">
        <v>18</v>
      </c>
      <c r="E222" s="699">
        <f>E217*0.0015</f>
        <v>400.02917726960396</v>
      </c>
      <c r="F222" s="674"/>
      <c r="G222" s="699">
        <f>G217*0.0015</f>
        <v>390.5024175543512</v>
      </c>
      <c r="H222" s="674"/>
      <c r="I222" s="699">
        <f>I217*0.0015</f>
        <v>374.6293631918512</v>
      </c>
      <c r="J222" s="674"/>
      <c r="K222" s="699">
        <f>K217*0.0015</f>
        <v>317.48225124387784</v>
      </c>
      <c r="L222" s="674"/>
      <c r="M222" s="699">
        <f>M217*0.0015</f>
        <v>269.07191221097594</v>
      </c>
      <c r="N222" s="674"/>
    </row>
    <row r="223" spans="2:14" ht="15.75" hidden="1" thickBot="1">
      <c r="B223" s="671">
        <v>713</v>
      </c>
      <c r="C223" s="703">
        <v>0.007</v>
      </c>
      <c r="D223" s="678" t="s">
        <v>20</v>
      </c>
      <c r="E223" s="699">
        <f>E217*0.007</f>
        <v>1866.8028272581519</v>
      </c>
      <c r="F223" s="674"/>
      <c r="G223" s="699">
        <f>G217*0.007</f>
        <v>1822.344615253639</v>
      </c>
      <c r="H223" s="674"/>
      <c r="I223" s="699">
        <f>I217*0.007</f>
        <v>1748.2703615619723</v>
      </c>
      <c r="J223" s="674"/>
      <c r="K223" s="699">
        <f>K217*0.007</f>
        <v>1481.5838391380967</v>
      </c>
      <c r="L223" s="674"/>
      <c r="M223" s="699">
        <f>M217*0.007</f>
        <v>1255.668923651221</v>
      </c>
      <c r="N223" s="674"/>
    </row>
    <row r="224" spans="2:14" ht="15.75" hidden="1" thickBot="1">
      <c r="B224" s="671">
        <v>787</v>
      </c>
      <c r="C224" s="701">
        <v>0.01</v>
      </c>
      <c r="D224" s="678" t="s">
        <v>387</v>
      </c>
      <c r="E224" s="699">
        <f>E217*0.01</f>
        <v>2666.8611817973597</v>
      </c>
      <c r="F224" s="674"/>
      <c r="G224" s="699">
        <f>G217*0.01</f>
        <v>2603.3494503623415</v>
      </c>
      <c r="H224" s="674"/>
      <c r="I224" s="699">
        <f>I217*0.01</f>
        <v>2497.5290879456747</v>
      </c>
      <c r="J224" s="674"/>
      <c r="K224" s="699">
        <f>K217*0.01</f>
        <v>2116.5483416258526</v>
      </c>
      <c r="L224" s="674"/>
      <c r="M224" s="699">
        <f>M217*0.01</f>
        <v>1793.8127480731728</v>
      </c>
      <c r="N224" s="674"/>
    </row>
    <row r="225" spans="2:14" ht="16.5" hidden="1" thickBot="1">
      <c r="B225" s="671"/>
      <c r="C225" s="671"/>
      <c r="D225" s="705" t="s">
        <v>481</v>
      </c>
      <c r="E225" s="694">
        <f>SUM(E220:E224)</f>
        <v>13600.992027166534</v>
      </c>
      <c r="F225" s="696"/>
      <c r="G225" s="694">
        <f>SUM(G220:G224)</f>
        <v>13277.08219684794</v>
      </c>
      <c r="H225" s="696"/>
      <c r="I225" s="694">
        <f>SUM(I220:I224)</f>
        <v>12737.39834852294</v>
      </c>
      <c r="J225" s="696"/>
      <c r="K225" s="694">
        <f>SUM(K220:K224)</f>
        <v>10794.396542291846</v>
      </c>
      <c r="L225" s="696"/>
      <c r="M225" s="694">
        <f>SUM(M220:M224)</f>
        <v>9148.44501517318</v>
      </c>
      <c r="N225" s="696"/>
    </row>
    <row r="226" spans="2:14" ht="16.5" hidden="1" thickBot="1">
      <c r="B226" s="671"/>
      <c r="C226" s="671"/>
      <c r="D226" s="678"/>
      <c r="E226" s="707"/>
      <c r="F226" s="674"/>
      <c r="G226" s="707"/>
      <c r="H226" s="674"/>
      <c r="I226" s="707"/>
      <c r="J226" s="674"/>
      <c r="K226" s="707"/>
      <c r="L226" s="674"/>
      <c r="M226" s="707"/>
      <c r="N226" s="674"/>
    </row>
    <row r="227" spans="2:14" ht="21" hidden="1" thickBot="1">
      <c r="B227" s="671"/>
      <c r="C227" s="671"/>
      <c r="D227" s="709" t="s">
        <v>23</v>
      </c>
      <c r="E227" s="735">
        <f>E217-E225</f>
        <v>253085.12615256943</v>
      </c>
      <c r="F227" s="710"/>
      <c r="G227" s="735">
        <f>G217-G225</f>
        <v>247057.8628393862</v>
      </c>
      <c r="H227" s="710"/>
      <c r="I227" s="735">
        <f>I217-I225</f>
        <v>237015.51044604456</v>
      </c>
      <c r="J227" s="710"/>
      <c r="K227" s="735">
        <f>K217-K225</f>
        <v>200860.43762029338</v>
      </c>
      <c r="L227" s="710"/>
      <c r="M227" s="735">
        <f>M217-M225</f>
        <v>170232.8297921441</v>
      </c>
      <c r="N227" s="710"/>
    </row>
    <row r="228" spans="4:14" ht="12.75" hidden="1">
      <c r="D228" s="488"/>
      <c r="E228" s="582"/>
      <c r="F228" s="336"/>
      <c r="G228" s="582"/>
      <c r="H228" s="336"/>
      <c r="I228" s="582"/>
      <c r="J228" s="336"/>
      <c r="K228" s="582"/>
      <c r="L228" s="336"/>
      <c r="M228" s="582"/>
      <c r="N228" s="336"/>
    </row>
    <row r="229" spans="4:14" s="411" customFormat="1" ht="20.25" hidden="1">
      <c r="D229" s="529"/>
      <c r="E229" s="901">
        <v>45383</v>
      </c>
      <c r="F229" s="902">
        <v>0.4668</v>
      </c>
      <c r="G229" s="901">
        <v>45352</v>
      </c>
      <c r="H229" s="902">
        <v>0.4514</v>
      </c>
      <c r="I229" s="901">
        <v>45323</v>
      </c>
      <c r="J229" s="902">
        <f>1.18*1.18-1</f>
        <v>0.39239999999999986</v>
      </c>
      <c r="K229" s="901">
        <v>45292</v>
      </c>
      <c r="L229" s="902">
        <v>0.18</v>
      </c>
      <c r="M229" s="901">
        <v>45261</v>
      </c>
      <c r="N229" s="902">
        <f>aumento10-1</f>
        <v>1.4117000000000002</v>
      </c>
    </row>
    <row r="230" spans="1:32" ht="15.75" thickBot="1">
      <c r="A230" s="339"/>
      <c r="B230" s="464"/>
      <c r="C230" s="464"/>
      <c r="D230" s="528"/>
      <c r="E230" s="908"/>
      <c r="F230" s="908"/>
      <c r="G230" s="908"/>
      <c r="H230" s="908"/>
      <c r="I230" s="908"/>
      <c r="J230" s="908"/>
      <c r="K230" s="908"/>
      <c r="L230" s="908"/>
      <c r="M230" s="583"/>
      <c r="N230" s="908"/>
      <c r="O230" s="583"/>
      <c r="P230" s="908"/>
      <c r="Q230" s="583"/>
      <c r="R230" s="908"/>
      <c r="S230" s="583"/>
      <c r="T230" s="621"/>
      <c r="U230" s="583"/>
      <c r="V230" s="621"/>
      <c r="W230" s="583"/>
      <c r="X230" s="621"/>
      <c r="Y230" s="583"/>
      <c r="Z230" s="621"/>
      <c r="AA230" s="583"/>
      <c r="AB230" s="621"/>
      <c r="AC230" s="583"/>
      <c r="AD230" s="621"/>
      <c r="AE230" s="583"/>
      <c r="AF230" s="621"/>
    </row>
    <row r="231" spans="1:27" ht="30.75" customHeight="1" thickBot="1">
      <c r="A231" s="339"/>
      <c r="B231" s="282" t="s">
        <v>24</v>
      </c>
      <c r="C231" s="428"/>
      <c r="D231" s="529"/>
      <c r="E231" s="584"/>
      <c r="F231" s="554"/>
      <c r="G231" s="449">
        <v>0</v>
      </c>
      <c r="H231" s="805" t="s">
        <v>506</v>
      </c>
      <c r="I231" s="806" t="str">
        <f>numhorasmed&amp;" horas"</f>
        <v>36 horas</v>
      </c>
      <c r="J231" s="814">
        <f>porcantighorasmed</f>
        <v>1.2</v>
      </c>
      <c r="S231" s="554"/>
      <c r="T231" s="584"/>
      <c r="U231" s="554"/>
      <c r="V231" s="584"/>
      <c r="W231" s="554"/>
      <c r="X231" s="584"/>
      <c r="Y231" s="554"/>
      <c r="AA231" s="554"/>
    </row>
    <row r="232" spans="1:27" ht="18" customHeight="1">
      <c r="A232" s="339"/>
      <c r="B232" s="439"/>
      <c r="C232" s="428"/>
      <c r="D232" s="529"/>
      <c r="E232" s="584"/>
      <c r="F232" s="554"/>
      <c r="G232" s="828">
        <v>45261</v>
      </c>
      <c r="H232" s="829">
        <f>M242</f>
        <v>500622.3845628612</v>
      </c>
      <c r="I232" s="813"/>
      <c r="J232" s="830"/>
      <c r="S232" s="554"/>
      <c r="T232" s="584"/>
      <c r="U232" s="554"/>
      <c r="V232" s="584"/>
      <c r="AA232" s="554"/>
    </row>
    <row r="233" spans="1:27" ht="18" customHeight="1">
      <c r="A233" s="339"/>
      <c r="B233" s="439"/>
      <c r="C233" s="428"/>
      <c r="D233" s="529"/>
      <c r="E233" s="584"/>
      <c r="F233" s="554"/>
      <c r="G233" s="831">
        <v>45292</v>
      </c>
      <c r="H233" s="832">
        <f>K242</f>
        <v>590705.8341074047</v>
      </c>
      <c r="I233" s="833">
        <f>H233-$H$232</f>
        <v>90083.44954454352</v>
      </c>
      <c r="J233" s="893">
        <f>I233/H$232</f>
        <v>0.1799429117082001</v>
      </c>
      <c r="AA233" s="554"/>
    </row>
    <row r="234" spans="1:27" ht="18" customHeight="1" thickBot="1">
      <c r="A234" s="339"/>
      <c r="B234" s="339"/>
      <c r="C234" s="339"/>
      <c r="D234" s="503"/>
      <c r="E234" s="585"/>
      <c r="F234" s="554"/>
      <c r="G234" s="974" t="s">
        <v>525</v>
      </c>
      <c r="H234" s="975">
        <f>K243</f>
        <v>615705.8341074047</v>
      </c>
      <c r="I234" s="833">
        <f>H234-$H$232</f>
        <v>115083.44954454352</v>
      </c>
      <c r="J234" s="893">
        <f>I234/H$232</f>
        <v>0.22988075062810728</v>
      </c>
      <c r="AA234" s="554"/>
    </row>
    <row r="235" spans="1:27" ht="18" customHeight="1" thickBot="1">
      <c r="A235" s="339"/>
      <c r="B235" s="81" t="s">
        <v>25</v>
      </c>
      <c r="C235" s="402"/>
      <c r="D235" s="530">
        <v>36</v>
      </c>
      <c r="E235" s="585"/>
      <c r="F235" s="622"/>
      <c r="G235" s="886">
        <v>45323</v>
      </c>
      <c r="H235" s="832">
        <f>I242</f>
        <v>697032.9152788561</v>
      </c>
      <c r="I235" s="833">
        <f>H235-$H$232</f>
        <v>196410.5307159949</v>
      </c>
      <c r="J235" s="893">
        <f>I235/$H$232</f>
        <v>0.39233269780275354</v>
      </c>
      <c r="AA235" s="622"/>
    </row>
    <row r="236" spans="1:30" ht="18" customHeight="1" thickBot="1">
      <c r="A236" s="339"/>
      <c r="B236" s="81" t="s">
        <v>9</v>
      </c>
      <c r="C236" s="402"/>
      <c r="D236" s="531">
        <v>1.2</v>
      </c>
      <c r="E236" s="571"/>
      <c r="F236" s="623"/>
      <c r="G236" s="886">
        <v>45352</v>
      </c>
      <c r="H236" s="832">
        <f>G242</f>
        <v>726566.2174414614</v>
      </c>
      <c r="I236" s="833">
        <f>H236-$H$232</f>
        <v>225943.83287860022</v>
      </c>
      <c r="J236" s="893">
        <f>I236/$H$232</f>
        <v>0.45132586924951884</v>
      </c>
      <c r="K236" s="571"/>
      <c r="L236" s="623"/>
      <c r="M236" s="571"/>
      <c r="N236" s="911"/>
      <c r="O236" s="912"/>
      <c r="P236" s="878"/>
      <c r="Q236" s="913"/>
      <c r="AD236" s="623"/>
    </row>
    <row r="237" spans="1:30" ht="18" customHeight="1" thickBot="1">
      <c r="A237" s="339"/>
      <c r="B237" s="801">
        <v>1</v>
      </c>
      <c r="C237" s="422"/>
      <c r="D237" s="532">
        <v>0.82</v>
      </c>
      <c r="E237" s="589"/>
      <c r="F237" s="624"/>
      <c r="G237" s="886">
        <v>45383</v>
      </c>
      <c r="H237" s="832">
        <f>E242</f>
        <v>744291.6261856064</v>
      </c>
      <c r="I237" s="833">
        <f>H237-$H$232</f>
        <v>243669.24162274518</v>
      </c>
      <c r="J237" s="893">
        <f>I237/$H$232</f>
        <v>0.48673261351570385</v>
      </c>
      <c r="K237" s="589"/>
      <c r="L237" s="624"/>
      <c r="M237" s="589"/>
      <c r="N237" s="911"/>
      <c r="O237" s="912"/>
      <c r="P237" s="878"/>
      <c r="Q237" s="913"/>
      <c r="Z237" s="624"/>
      <c r="AA237" s="589"/>
      <c r="AB237" s="624"/>
      <c r="AC237" s="589"/>
      <c r="AD237" s="624"/>
    </row>
    <row r="238" spans="1:30" ht="18" customHeight="1">
      <c r="A238" s="339"/>
      <c r="B238" s="884"/>
      <c r="C238" s="444"/>
      <c r="D238" s="885"/>
      <c r="E238" s="589"/>
      <c r="F238" s="624"/>
      <c r="G238" s="589"/>
      <c r="H238" s="624"/>
      <c r="I238" s="589"/>
      <c r="J238" s="624"/>
      <c r="K238" s="589"/>
      <c r="L238" s="624"/>
      <c r="M238" s="589"/>
      <c r="N238" s="911"/>
      <c r="O238" s="912"/>
      <c r="P238" s="878"/>
      <c r="Q238" s="913"/>
      <c r="Z238" s="624"/>
      <c r="AA238" s="589"/>
      <c r="AB238" s="624"/>
      <c r="AC238" s="589"/>
      <c r="AD238" s="624"/>
    </row>
    <row r="239" spans="1:30" ht="15.75">
      <c r="A239" s="339"/>
      <c r="B239" s="639" t="s">
        <v>491</v>
      </c>
      <c r="C239" s="444"/>
      <c r="D239" s="636">
        <v>1</v>
      </c>
      <c r="E239" s="571" t="s">
        <v>492</v>
      </c>
      <c r="F239" s="655"/>
      <c r="G239" s="571" t="s">
        <v>492</v>
      </c>
      <c r="H239" s="655"/>
      <c r="I239" s="571" t="s">
        <v>492</v>
      </c>
      <c r="J239" s="655"/>
      <c r="K239" s="571" t="s">
        <v>492</v>
      </c>
      <c r="L239" s="655"/>
      <c r="M239" s="571" t="s">
        <v>492</v>
      </c>
      <c r="N239" s="911"/>
      <c r="O239" s="912"/>
      <c r="P239" s="878"/>
      <c r="Q239" s="913"/>
      <c r="V239" s="655"/>
      <c r="W239" s="571" t="s">
        <v>492</v>
      </c>
      <c r="X239" s="655"/>
      <c r="Y239" s="571" t="s">
        <v>492</v>
      </c>
      <c r="Z239" s="655"/>
      <c r="AA239" s="571" t="s">
        <v>492</v>
      </c>
      <c r="AB239" s="655"/>
      <c r="AC239" s="571" t="s">
        <v>492</v>
      </c>
      <c r="AD239" s="655"/>
    </row>
    <row r="240" spans="1:30" ht="15.75">
      <c r="A240" s="339"/>
      <c r="B240" s="639"/>
      <c r="C240" s="444"/>
      <c r="D240" s="635"/>
      <c r="E240" s="571"/>
      <c r="F240" s="655"/>
      <c r="G240" s="571"/>
      <c r="H240" s="655"/>
      <c r="I240" s="571"/>
      <c r="J240" s="655"/>
      <c r="K240" s="571"/>
      <c r="L240" s="655"/>
      <c r="M240" s="571"/>
      <c r="N240" s="911"/>
      <c r="O240" s="912"/>
      <c r="P240" s="878"/>
      <c r="Q240" s="913"/>
      <c r="V240" s="655"/>
      <c r="W240" s="571"/>
      <c r="X240" s="655"/>
      <c r="Y240" s="571"/>
      <c r="Z240" s="655"/>
      <c r="AA240" s="571"/>
      <c r="AB240" s="655"/>
      <c r="AC240" s="95"/>
      <c r="AD240" s="655"/>
    </row>
    <row r="241" spans="1:14" ht="21" thickBot="1">
      <c r="A241" s="339"/>
      <c r="B241" s="639"/>
      <c r="C241" s="444"/>
      <c r="D241" s="10"/>
      <c r="E241" s="901">
        <v>45383</v>
      </c>
      <c r="F241" s="902">
        <v>0.4668</v>
      </c>
      <c r="G241" s="901">
        <v>45352</v>
      </c>
      <c r="H241" s="902">
        <v>0.4514</v>
      </c>
      <c r="I241" s="901">
        <v>45323</v>
      </c>
      <c r="J241" s="902">
        <f>Aumento11-1</f>
        <v>1.8451514539999998</v>
      </c>
      <c r="K241" s="901">
        <v>45292</v>
      </c>
      <c r="L241" s="902">
        <f>Aumento11-1</f>
        <v>1.8451514539999998</v>
      </c>
      <c r="M241" s="901">
        <v>45261</v>
      </c>
      <c r="N241" s="902">
        <f>aumento10-1</f>
        <v>1.4117000000000002</v>
      </c>
    </row>
    <row r="242" spans="1:14" ht="24.75" thickBot="1" thickTop="1">
      <c r="A242" s="339"/>
      <c r="B242" s="411"/>
      <c r="C242" s="411"/>
      <c r="D242" s="545" t="str">
        <f>D293</f>
        <v>Líquido</v>
      </c>
      <c r="E242" s="868">
        <f>E266</f>
        <v>744291.6261856064</v>
      </c>
      <c r="F242" s="802"/>
      <c r="G242" s="868">
        <f>G266</f>
        <v>726566.2174414614</v>
      </c>
      <c r="H242" s="802"/>
      <c r="I242" s="868">
        <f>I266</f>
        <v>697032.9152788561</v>
      </c>
      <c r="J242" s="802"/>
      <c r="K242" s="868">
        <f>K266</f>
        <v>590705.8341074047</v>
      </c>
      <c r="L242" s="802"/>
      <c r="M242" s="868">
        <f>M293</f>
        <v>500622.3845628612</v>
      </c>
      <c r="N242" s="802"/>
    </row>
    <row r="243" spans="1:14" ht="24.75" thickBot="1" thickTop="1">
      <c r="A243" s="339"/>
      <c r="B243" s="411"/>
      <c r="C243" s="411"/>
      <c r="D243" s="965"/>
      <c r="E243" s="868"/>
      <c r="F243" s="981" t="s">
        <v>521</v>
      </c>
      <c r="G243" s="868"/>
      <c r="H243" s="981" t="s">
        <v>521</v>
      </c>
      <c r="I243" s="868"/>
      <c r="J243" s="981" t="s">
        <v>521</v>
      </c>
      <c r="K243" s="868">
        <f>K267</f>
        <v>615705.8341074047</v>
      </c>
      <c r="L243" s="973"/>
      <c r="M243" s="972"/>
      <c r="N243" s="973"/>
    </row>
    <row r="244" spans="1:14" ht="17.25" thickBot="1" thickTop="1">
      <c r="A244" s="339"/>
      <c r="B244" s="440" t="str">
        <f>B295</f>
        <v>Puntos básicos</v>
      </c>
      <c r="C244" s="441"/>
      <c r="D244" s="533">
        <f>D295</f>
        <v>2330.28</v>
      </c>
      <c r="E244" s="571"/>
      <c r="F244" s="625"/>
      <c r="G244" s="571"/>
      <c r="H244" s="625"/>
      <c r="I244" s="571"/>
      <c r="J244" s="625"/>
      <c r="K244" s="571"/>
      <c r="L244" s="625"/>
      <c r="M244" s="571"/>
      <c r="N244" s="625"/>
    </row>
    <row r="245" spans="1:14" ht="20.25">
      <c r="A245" s="339"/>
      <c r="C245" s="228"/>
      <c r="D245" s="633"/>
      <c r="E245" s="901">
        <v>45323</v>
      </c>
      <c r="F245" s="902">
        <f>1.18*1.18-1</f>
        <v>0.39239999999999986</v>
      </c>
      <c r="G245" s="901">
        <v>45323</v>
      </c>
      <c r="H245" s="902">
        <f>1.18*1.18-1</f>
        <v>0.39239999999999986</v>
      </c>
      <c r="I245" s="901">
        <v>45323</v>
      </c>
      <c r="J245" s="902">
        <f>1.18*1.18-1</f>
        <v>0.39239999999999986</v>
      </c>
      <c r="K245" s="901">
        <v>45292</v>
      </c>
      <c r="L245" s="902">
        <v>0.18</v>
      </c>
      <c r="M245" s="901">
        <v>45261</v>
      </c>
      <c r="N245" s="902">
        <f>aumento10-1</f>
        <v>1.4117000000000002</v>
      </c>
    </row>
    <row r="246" spans="1:14" ht="15.75" thickBot="1">
      <c r="A246" s="339"/>
      <c r="D246" s="543">
        <f aca="true" t="shared" si="30" ref="D246:D255">D297</f>
        <v>0</v>
      </c>
      <c r="E246" s="574"/>
      <c r="F246" s="626"/>
      <c r="G246" s="574"/>
      <c r="H246" s="626"/>
      <c r="I246" s="574"/>
      <c r="J246" s="626"/>
      <c r="K246" s="574"/>
      <c r="L246" s="626"/>
      <c r="M246" s="574"/>
      <c r="N246" s="626"/>
    </row>
    <row r="247" spans="1:14" ht="15">
      <c r="A247" s="339"/>
      <c r="B247" s="404">
        <f aca="true" t="shared" si="31" ref="B247:C253">B298</f>
        <v>400</v>
      </c>
      <c r="C247" s="404">
        <f t="shared" si="31"/>
        <v>0</v>
      </c>
      <c r="D247" s="404" t="str">
        <f t="shared" si="30"/>
        <v>Sueldo básico</v>
      </c>
      <c r="E247" s="479">
        <f aca="true" t="shared" si="32" ref="E247:E252">E298</f>
        <v>263968.6888476</v>
      </c>
      <c r="F247" s="608"/>
      <c r="G247" s="479">
        <f aca="true" t="shared" si="33" ref="G247:G252">G298</f>
        <v>257682.25054655998</v>
      </c>
      <c r="H247" s="608"/>
      <c r="I247" s="479">
        <f aca="true" t="shared" si="34" ref="I247:I252">I298</f>
        <v>247208.03809415997</v>
      </c>
      <c r="J247" s="608"/>
      <c r="K247" s="479">
        <f aca="true" t="shared" si="35" ref="K247:K252">K298</f>
        <v>209498.27453726402</v>
      </c>
      <c r="L247" s="608"/>
      <c r="M247" s="479">
        <f aca="true" t="shared" si="36" ref="M247:M252">M298</f>
        <v>177540.9106248</v>
      </c>
      <c r="N247" s="608"/>
    </row>
    <row r="248" spans="1:14" ht="15">
      <c r="A248" s="339"/>
      <c r="B248" s="404">
        <f t="shared" si="31"/>
        <v>406</v>
      </c>
      <c r="C248" s="404">
        <f t="shared" si="31"/>
        <v>0</v>
      </c>
      <c r="D248" s="404" t="str">
        <f t="shared" si="30"/>
        <v>Antigüedad</v>
      </c>
      <c r="E248" s="442">
        <f t="shared" si="32"/>
        <v>316762.42661712</v>
      </c>
      <c r="F248" s="607"/>
      <c r="G248" s="442">
        <f t="shared" si="33"/>
        <v>309218.70065587194</v>
      </c>
      <c r="H248" s="607"/>
      <c r="I248" s="442">
        <f t="shared" si="34"/>
        <v>296649.64571299194</v>
      </c>
      <c r="J248" s="607"/>
      <c r="K248" s="442">
        <f t="shared" si="35"/>
        <v>251397.9294447168</v>
      </c>
      <c r="L248" s="607"/>
      <c r="M248" s="442">
        <f t="shared" si="36"/>
        <v>213049.09274976</v>
      </c>
      <c r="N248" s="607"/>
    </row>
    <row r="249" spans="1:14" ht="15">
      <c r="A249" s="339"/>
      <c r="B249" s="404">
        <f t="shared" si="31"/>
        <v>432</v>
      </c>
      <c r="C249" s="404">
        <f t="shared" si="31"/>
        <v>0</v>
      </c>
      <c r="D249" s="404" t="str">
        <f t="shared" si="30"/>
        <v>Dto. 1109/05(cod06act)</v>
      </c>
      <c r="E249" s="442">
        <f t="shared" si="32"/>
        <v>65517.031081439985</v>
      </c>
      <c r="F249" s="607"/>
      <c r="G249" s="442">
        <f t="shared" si="33"/>
        <v>63956.721940775984</v>
      </c>
      <c r="H249" s="607"/>
      <c r="I249" s="442">
        <f t="shared" si="34"/>
        <v>61357.024799999985</v>
      </c>
      <c r="J249" s="607"/>
      <c r="K249" s="442">
        <f t="shared" si="35"/>
        <v>51997.50998785973</v>
      </c>
      <c r="L249" s="607"/>
      <c r="M249" s="442">
        <f t="shared" si="36"/>
        <v>44075.82403440001</v>
      </c>
      <c r="N249" s="607"/>
    </row>
    <row r="250" spans="1:14" ht="15">
      <c r="A250" s="339"/>
      <c r="B250" s="404">
        <f t="shared" si="31"/>
        <v>434</v>
      </c>
      <c r="C250" s="404">
        <f t="shared" si="31"/>
        <v>0</v>
      </c>
      <c r="D250" s="404" t="str">
        <f t="shared" si="30"/>
        <v>Traslado cod 188</v>
      </c>
      <c r="E250" s="442">
        <f t="shared" si="32"/>
        <v>48903.24816098553</v>
      </c>
      <c r="F250" s="607"/>
      <c r="G250" s="442">
        <f t="shared" si="33"/>
        <v>47738.610494682325</v>
      </c>
      <c r="H250" s="607"/>
      <c r="I250" s="442">
        <f t="shared" si="34"/>
        <v>45798.1420628756</v>
      </c>
      <c r="J250" s="607"/>
      <c r="K250" s="442">
        <f t="shared" si="35"/>
        <v>38811.98307112569</v>
      </c>
      <c r="L250" s="607"/>
      <c r="M250" s="442">
        <f t="shared" si="36"/>
        <v>32893.1024425052</v>
      </c>
      <c r="N250" s="607"/>
    </row>
    <row r="251" spans="1:14" ht="15">
      <c r="A251" s="339"/>
      <c r="B251" s="443">
        <f t="shared" si="31"/>
        <v>1458</v>
      </c>
      <c r="C251" s="404">
        <f t="shared" si="31"/>
        <v>0</v>
      </c>
      <c r="D251" s="592" t="str">
        <f t="shared" si="30"/>
        <v>Adic hs media (Cod 18 en activos)</v>
      </c>
      <c r="E251" s="483">
        <f t="shared" si="32"/>
        <v>26269.65745988</v>
      </c>
      <c r="F251" s="656"/>
      <c r="G251" s="483">
        <f t="shared" si="33"/>
        <v>25644.037129102</v>
      </c>
      <c r="H251" s="656"/>
      <c r="I251" s="483">
        <f t="shared" si="34"/>
        <v>24601.664599999996</v>
      </c>
      <c r="J251" s="656"/>
      <c r="K251" s="483">
        <f t="shared" si="35"/>
        <v>20848.859788923233</v>
      </c>
      <c r="L251" s="656"/>
      <c r="M251" s="483">
        <f t="shared" si="36"/>
        <v>17672.5900065024</v>
      </c>
      <c r="N251" s="656"/>
    </row>
    <row r="252" spans="1:14" ht="15">
      <c r="A252" s="339"/>
      <c r="B252" s="405">
        <f t="shared" si="31"/>
        <v>437</v>
      </c>
      <c r="C252" s="404">
        <f t="shared" si="31"/>
        <v>0</v>
      </c>
      <c r="D252" s="593" t="str">
        <f t="shared" si="30"/>
        <v>DTO. N1462/18 DOCENT</v>
      </c>
      <c r="E252" s="484">
        <f t="shared" si="32"/>
        <v>18554.87741944</v>
      </c>
      <c r="F252" s="657"/>
      <c r="G252" s="484">
        <f t="shared" si="33"/>
        <v>18112.987053475998</v>
      </c>
      <c r="H252" s="657"/>
      <c r="I252" s="484">
        <f t="shared" si="34"/>
        <v>17376.7348</v>
      </c>
      <c r="J252" s="657"/>
      <c r="K252" s="484">
        <f t="shared" si="35"/>
        <v>14726.139689614858</v>
      </c>
      <c r="L252" s="657"/>
      <c r="M252" s="484">
        <f t="shared" si="36"/>
        <v>12482.650454166002</v>
      </c>
      <c r="N252" s="657"/>
    </row>
    <row r="253" spans="1:14" ht="15.75">
      <c r="A253" s="339"/>
      <c r="B253" s="404">
        <f t="shared" si="31"/>
        <v>0</v>
      </c>
      <c r="C253" s="404">
        <f t="shared" si="31"/>
        <v>0</v>
      </c>
      <c r="D253" s="404" t="str">
        <f t="shared" si="30"/>
        <v>Otros</v>
      </c>
      <c r="E253" s="480">
        <v>0</v>
      </c>
      <c r="F253" s="612"/>
      <c r="G253" s="480">
        <v>0</v>
      </c>
      <c r="H253" s="612"/>
      <c r="I253" s="480">
        <v>0</v>
      </c>
      <c r="J253" s="612"/>
      <c r="K253" s="480">
        <v>0</v>
      </c>
      <c r="L253" s="612"/>
      <c r="M253" s="480">
        <v>0</v>
      </c>
      <c r="N253" s="612"/>
    </row>
    <row r="254" spans="1:14" ht="20.25">
      <c r="A254" s="339"/>
      <c r="B254" s="637">
        <f>B305</f>
        <v>1584</v>
      </c>
      <c r="C254" s="643">
        <v>15</v>
      </c>
      <c r="D254" s="638" t="str">
        <f t="shared" si="30"/>
        <v>Adic Dec 173/21 (cod 38 activos)</v>
      </c>
      <c r="E254" s="484">
        <f aca="true" t="shared" si="37" ref="E254:E262">E305</f>
        <v>44314.50896528</v>
      </c>
      <c r="F254" s="657"/>
      <c r="G254" s="484">
        <f aca="true" t="shared" si="38" ref="G254:G262">G305</f>
        <v>43259.144699512</v>
      </c>
      <c r="H254" s="657"/>
      <c r="I254" s="484">
        <f aca="true" t="shared" si="39" ref="I254:I262">I305</f>
        <v>41500.7576</v>
      </c>
      <c r="J254" s="657"/>
      <c r="K254" s="484">
        <f aca="true" t="shared" si="40" ref="K254:K262">K305</f>
        <v>35170.129726443694</v>
      </c>
      <c r="L254" s="657"/>
      <c r="M254" s="484">
        <f>M305</f>
        <v>29812.05156654</v>
      </c>
      <c r="N254" s="657"/>
    </row>
    <row r="255" spans="1:14" ht="18">
      <c r="A255" s="339"/>
      <c r="B255" s="404">
        <f>B306</f>
        <v>0</v>
      </c>
      <c r="D255" s="594" t="str">
        <f t="shared" si="30"/>
        <v>Haberes</v>
      </c>
      <c r="E255" s="945">
        <f t="shared" si="37"/>
        <v>784290.4385517454</v>
      </c>
      <c r="F255" s="946"/>
      <c r="G255" s="945">
        <f t="shared" si="38"/>
        <v>765612.4525199804</v>
      </c>
      <c r="H255" s="946"/>
      <c r="I255" s="945">
        <f t="shared" si="39"/>
        <v>734492.0076700274</v>
      </c>
      <c r="J255" s="946"/>
      <c r="K255" s="945">
        <f t="shared" si="40"/>
        <v>622450.8262459481</v>
      </c>
      <c r="L255" s="946"/>
      <c r="M255" s="945">
        <f>M306</f>
        <v>527526.2218786735</v>
      </c>
      <c r="N255" s="652"/>
    </row>
    <row r="256" spans="1:14" ht="20.25">
      <c r="A256" s="339"/>
      <c r="B256" s="404"/>
      <c r="C256" s="948">
        <v>1</v>
      </c>
      <c r="D256" s="927" t="s">
        <v>516</v>
      </c>
      <c r="E256" s="944">
        <f t="shared" si="37"/>
        <v>0</v>
      </c>
      <c r="F256" s="929"/>
      <c r="G256" s="944">
        <f t="shared" si="38"/>
        <v>0</v>
      </c>
      <c r="H256" s="929"/>
      <c r="I256" s="944">
        <f t="shared" si="39"/>
        <v>0</v>
      </c>
      <c r="J256" s="929"/>
      <c r="K256" s="944">
        <f t="shared" si="40"/>
        <v>25000</v>
      </c>
      <c r="L256" s="929"/>
      <c r="M256" s="928"/>
      <c r="N256" s="929"/>
    </row>
    <row r="257" spans="1:14" ht="18">
      <c r="A257" s="339"/>
      <c r="B257" s="404"/>
      <c r="C257" s="16"/>
      <c r="D257" s="927" t="s">
        <v>518</v>
      </c>
      <c r="E257" s="945">
        <f t="shared" si="37"/>
        <v>784290.4385517454</v>
      </c>
      <c r="F257" s="929"/>
      <c r="G257" s="945">
        <f t="shared" si="38"/>
        <v>765612.4525199804</v>
      </c>
      <c r="H257" s="929"/>
      <c r="I257" s="945">
        <f t="shared" si="39"/>
        <v>734492.0076700274</v>
      </c>
      <c r="J257" s="929"/>
      <c r="K257" s="945">
        <f t="shared" si="40"/>
        <v>647450.8262459481</v>
      </c>
      <c r="L257" s="929"/>
      <c r="M257" s="928"/>
      <c r="N257" s="929"/>
    </row>
    <row r="258" spans="1:14" ht="15">
      <c r="A258" s="339"/>
      <c r="B258" s="404">
        <f aca="true" t="shared" si="41" ref="B258:D259">B309</f>
        <v>703</v>
      </c>
      <c r="C258" s="455">
        <f t="shared" si="41"/>
        <v>0.0025</v>
      </c>
      <c r="D258" s="603" t="str">
        <f t="shared" si="41"/>
        <v>Federació de  jubil</v>
      </c>
      <c r="E258" s="481">
        <f t="shared" si="37"/>
        <v>1960.7260963793635</v>
      </c>
      <c r="F258" s="611"/>
      <c r="G258" s="481">
        <f t="shared" si="38"/>
        <v>1914.031131299951</v>
      </c>
      <c r="H258" s="611"/>
      <c r="I258" s="481">
        <f t="shared" si="39"/>
        <v>1836.2300191750687</v>
      </c>
      <c r="J258" s="611"/>
      <c r="K258" s="481">
        <f t="shared" si="40"/>
        <v>1556.1270656148702</v>
      </c>
      <c r="L258" s="611"/>
      <c r="M258" s="481">
        <f>M309</f>
        <v>1318.8155546966839</v>
      </c>
      <c r="N258" s="611"/>
    </row>
    <row r="259" spans="1:14" ht="15">
      <c r="A259" s="339"/>
      <c r="B259" s="596">
        <f t="shared" si="41"/>
        <v>707</v>
      </c>
      <c r="C259" s="597">
        <f t="shared" si="41"/>
        <v>0.03</v>
      </c>
      <c r="D259" s="404" t="str">
        <f t="shared" si="41"/>
        <v>Aporte IOSPER</v>
      </c>
      <c r="E259" s="482">
        <f t="shared" si="37"/>
        <v>23528.71315655236</v>
      </c>
      <c r="F259" s="607"/>
      <c r="G259" s="482">
        <f t="shared" si="38"/>
        <v>22968.37357559941</v>
      </c>
      <c r="H259" s="607"/>
      <c r="I259" s="482">
        <f t="shared" si="39"/>
        <v>22034.760230100823</v>
      </c>
      <c r="J259" s="607"/>
      <c r="K259" s="482">
        <f t="shared" si="40"/>
        <v>18673.524787378443</v>
      </c>
      <c r="L259" s="607"/>
      <c r="M259" s="482">
        <f>M310</f>
        <v>15825.786656360206</v>
      </c>
      <c r="N259" s="607"/>
    </row>
    <row r="260" spans="1:14" ht="15.75">
      <c r="A260" s="339"/>
      <c r="B260" s="596">
        <f>B311</f>
        <v>709</v>
      </c>
      <c r="C260" s="598">
        <v>0.0015</v>
      </c>
      <c r="D260" s="404" t="str">
        <f>D311</f>
        <v>Seguro ley 3011</v>
      </c>
      <c r="E260" s="482">
        <f t="shared" si="37"/>
        <v>1176.4356578276181</v>
      </c>
      <c r="F260" s="607"/>
      <c r="G260" s="482">
        <f t="shared" si="38"/>
        <v>1148.4186787799706</v>
      </c>
      <c r="H260" s="607"/>
      <c r="I260" s="482">
        <f t="shared" si="39"/>
        <v>1101.7380115050412</v>
      </c>
      <c r="J260" s="607"/>
      <c r="K260" s="482">
        <f t="shared" si="40"/>
        <v>933.6762393689222</v>
      </c>
      <c r="L260" s="607"/>
      <c r="M260" s="482">
        <f>M311</f>
        <v>791.2893328180103</v>
      </c>
      <c r="N260" s="607"/>
    </row>
    <row r="261" spans="1:14" ht="15">
      <c r="A261" s="339"/>
      <c r="B261" s="596">
        <f>B312</f>
        <v>713</v>
      </c>
      <c r="C261" s="599">
        <f>C312</f>
        <v>0.007</v>
      </c>
      <c r="D261" s="404" t="str">
        <f>D312</f>
        <v>Serv Sepelio IAPS</v>
      </c>
      <c r="E261" s="482">
        <f t="shared" si="37"/>
        <v>5490.033069862217</v>
      </c>
      <c r="F261" s="607"/>
      <c r="G261" s="482">
        <f t="shared" si="38"/>
        <v>5359.287167639863</v>
      </c>
      <c r="H261" s="607"/>
      <c r="I261" s="482">
        <f t="shared" si="39"/>
        <v>5141.444053690192</v>
      </c>
      <c r="J261" s="607"/>
      <c r="K261" s="482">
        <f t="shared" si="40"/>
        <v>4357.155783721637</v>
      </c>
      <c r="L261" s="607"/>
      <c r="M261" s="482">
        <f>M312</f>
        <v>3692.683553150715</v>
      </c>
      <c r="N261" s="607"/>
    </row>
    <row r="262" spans="1:14" ht="15.75" thickBot="1">
      <c r="A262" s="339"/>
      <c r="B262" s="769">
        <f>B313</f>
        <v>787</v>
      </c>
      <c r="C262" s="770">
        <f>C313</f>
        <v>0.01</v>
      </c>
      <c r="D262" s="404" t="str">
        <f>D313</f>
        <v>Desc AGMER 1 %</v>
      </c>
      <c r="E262" s="482">
        <f t="shared" si="37"/>
        <v>7842.904385517454</v>
      </c>
      <c r="F262" s="607"/>
      <c r="G262" s="482">
        <f t="shared" si="38"/>
        <v>7656.124525199804</v>
      </c>
      <c r="H262" s="607"/>
      <c r="I262" s="482">
        <f t="shared" si="39"/>
        <v>7344.920076700275</v>
      </c>
      <c r="J262" s="607"/>
      <c r="K262" s="482">
        <f t="shared" si="40"/>
        <v>6224.508262459481</v>
      </c>
      <c r="L262" s="607"/>
      <c r="M262" s="482">
        <f>M313</f>
        <v>5275.2622187867355</v>
      </c>
      <c r="N262" s="607"/>
    </row>
    <row r="263" spans="1:14" ht="16.5" thickBot="1">
      <c r="A263" s="339"/>
      <c r="B263" s="771"/>
      <c r="C263" s="772"/>
      <c r="D263" s="430" t="str">
        <f>D314</f>
        <v>Otros descuentos</v>
      </c>
      <c r="E263" s="485">
        <v>0</v>
      </c>
      <c r="F263" s="612"/>
      <c r="G263" s="485">
        <v>0</v>
      </c>
      <c r="H263" s="612"/>
      <c r="I263" s="485">
        <v>0</v>
      </c>
      <c r="J263" s="612"/>
      <c r="K263" s="485">
        <v>0</v>
      </c>
      <c r="L263" s="612"/>
      <c r="M263" s="485">
        <v>0</v>
      </c>
      <c r="N263" s="612"/>
    </row>
    <row r="264" spans="1:14" ht="16.5" thickBot="1">
      <c r="A264" s="339"/>
      <c r="B264" s="377"/>
      <c r="C264" s="767"/>
      <c r="D264" s="768" t="str">
        <f>D315</f>
        <v>Descuentos</v>
      </c>
      <c r="E264" s="588">
        <f>E315</f>
        <v>39998.81236613901</v>
      </c>
      <c r="F264" s="658"/>
      <c r="G264" s="588">
        <f>G315</f>
        <v>39046.235078519</v>
      </c>
      <c r="H264" s="658"/>
      <c r="I264" s="588">
        <f>I315</f>
        <v>37459.0923911714</v>
      </c>
      <c r="J264" s="658"/>
      <c r="K264" s="588">
        <f>K315</f>
        <v>31744.992138543348</v>
      </c>
      <c r="L264" s="658"/>
      <c r="M264" s="588">
        <f>M315</f>
        <v>26903.837315812347</v>
      </c>
      <c r="N264" s="658"/>
    </row>
    <row r="265" spans="1:14" ht="16.5" thickBot="1">
      <c r="A265" s="339"/>
      <c r="B265" s="95"/>
      <c r="C265" s="761"/>
      <c r="D265" s="784"/>
      <c r="E265" s="570"/>
      <c r="F265" s="584"/>
      <c r="G265" s="570"/>
      <c r="H265" s="584"/>
      <c r="I265" s="570"/>
      <c r="J265" s="584"/>
      <c r="K265" s="570"/>
      <c r="L265" s="584"/>
      <c r="M265" s="570"/>
      <c r="N265" s="584"/>
    </row>
    <row r="266" spans="1:14" ht="24" thickBot="1">
      <c r="A266" s="339"/>
      <c r="B266" s="450"/>
      <c r="C266" s="761"/>
      <c r="D266" s="764" t="str">
        <f>D317</f>
        <v>Líquido</v>
      </c>
      <c r="E266" s="882">
        <f>E317</f>
        <v>744291.6261856064</v>
      </c>
      <c r="F266" s="881"/>
      <c r="G266" s="882">
        <f>G317</f>
        <v>726566.2174414614</v>
      </c>
      <c r="H266" s="881"/>
      <c r="I266" s="882">
        <f>I317</f>
        <v>697032.9152788561</v>
      </c>
      <c r="J266" s="881"/>
      <c r="K266" s="882">
        <f>K317</f>
        <v>590705.8341074047</v>
      </c>
      <c r="L266" s="881"/>
      <c r="M266" s="882">
        <f>M317</f>
        <v>500622.3845628612</v>
      </c>
      <c r="N266" s="881"/>
    </row>
    <row r="267" spans="1:14" ht="24" thickBot="1">
      <c r="A267" s="339"/>
      <c r="B267" s="450"/>
      <c r="C267" s="450"/>
      <c r="D267" s="920"/>
      <c r="E267" s="882"/>
      <c r="F267" s="534" t="s">
        <v>521</v>
      </c>
      <c r="G267" s="882"/>
      <c r="H267" s="534" t="s">
        <v>521</v>
      </c>
      <c r="I267" s="882"/>
      <c r="J267" s="534" t="s">
        <v>521</v>
      </c>
      <c r="K267" s="882">
        <f>K318</f>
        <v>615705.8341074047</v>
      </c>
      <c r="L267" s="922"/>
      <c r="M267" s="926"/>
      <c r="N267" s="922"/>
    </row>
    <row r="268" spans="1:14" ht="21" thickBot="1">
      <c r="A268" s="339"/>
      <c r="B268" s="450"/>
      <c r="C268" s="411"/>
      <c r="D268" s="534"/>
      <c r="E268" s="826"/>
      <c r="F268" s="827"/>
      <c r="G268" s="826"/>
      <c r="H268" s="827"/>
      <c r="I268" s="826"/>
      <c r="J268" s="827"/>
      <c r="K268" s="826"/>
      <c r="L268" s="827"/>
      <c r="M268" s="826"/>
      <c r="N268" s="827"/>
    </row>
    <row r="269" spans="1:14" ht="21" thickTop="1">
      <c r="A269" s="339"/>
      <c r="B269" s="411"/>
      <c r="C269" s="459"/>
      <c r="D269" s="518" t="str">
        <f>D320</f>
        <v>Aumento mensual</v>
      </c>
      <c r="E269" s="821">
        <f>E320</f>
        <v>17725.408744144952</v>
      </c>
      <c r="F269" s="822"/>
      <c r="G269" s="821">
        <f>G320</f>
        <v>29533.302162605338</v>
      </c>
      <c r="H269" s="822"/>
      <c r="I269" s="821">
        <f>I320</f>
        <v>106327.08117145137</v>
      </c>
      <c r="J269" s="822"/>
      <c r="K269" s="821">
        <f>K320</f>
        <v>90083.44954454352</v>
      </c>
      <c r="L269" s="822"/>
      <c r="M269" s="821"/>
      <c r="N269" s="822"/>
    </row>
    <row r="270" spans="1:14" ht="21" thickBot="1">
      <c r="A270" s="339"/>
      <c r="B270" s="411"/>
      <c r="C270" s="459"/>
      <c r="D270" s="519" t="str">
        <f>D321</f>
        <v>Aum porcentual</v>
      </c>
      <c r="E270" s="943">
        <f>E321</f>
        <v>0.02439613667500728</v>
      </c>
      <c r="F270" s="835"/>
      <c r="G270" s="943">
        <f>G321</f>
        <v>0.042370025167018405</v>
      </c>
      <c r="H270" s="835"/>
      <c r="I270" s="943">
        <f>I321</f>
        <v>0.18000005253396315</v>
      </c>
      <c r="J270" s="835"/>
      <c r="K270" s="943">
        <f>K321</f>
        <v>0.1799429117082001</v>
      </c>
      <c r="L270" s="835"/>
      <c r="M270" s="834"/>
      <c r="N270" s="835"/>
    </row>
    <row r="271" spans="1:14" ht="21.75" thickBot="1" thickTop="1">
      <c r="A271" s="339"/>
      <c r="B271" s="411"/>
      <c r="C271" s="411"/>
      <c r="D271" s="663"/>
      <c r="E271" s="823"/>
      <c r="F271" s="824"/>
      <c r="G271" s="823"/>
      <c r="H271" s="824"/>
      <c r="I271" s="823"/>
      <c r="J271" s="824"/>
      <c r="K271" s="823"/>
      <c r="L271" s="824"/>
      <c r="M271" s="823"/>
      <c r="N271" s="824"/>
    </row>
    <row r="272" spans="1:14" ht="21" thickTop="1">
      <c r="A272" s="339"/>
      <c r="B272" s="411"/>
      <c r="C272" s="411"/>
      <c r="D272" s="961" t="s">
        <v>529</v>
      </c>
      <c r="E272" s="940"/>
      <c r="F272" s="824"/>
      <c r="G272" s="940"/>
      <c r="H272" s="824"/>
      <c r="I272" s="940">
        <f>I323</f>
        <v>81327.08117145137</v>
      </c>
      <c r="J272" s="824"/>
      <c r="K272" s="940">
        <f>K323</f>
        <v>115083.44954454352</v>
      </c>
      <c r="L272" s="824"/>
      <c r="M272" s="823"/>
      <c r="N272" s="824"/>
    </row>
    <row r="273" spans="1:14" ht="21" thickBot="1">
      <c r="A273" s="339"/>
      <c r="B273" s="411"/>
      <c r="C273" s="411"/>
      <c r="D273" s="962" t="s">
        <v>530</v>
      </c>
      <c r="E273" s="947"/>
      <c r="F273" s="824"/>
      <c r="G273" s="947"/>
      <c r="H273" s="824"/>
      <c r="I273" s="947">
        <f>I324</f>
        <v>0.13208755978307743</v>
      </c>
      <c r="J273" s="824"/>
      <c r="K273" s="947">
        <f>K324</f>
        <v>0.22988075062810728</v>
      </c>
      <c r="L273" s="824"/>
      <c r="M273" s="823"/>
      <c r="N273" s="824"/>
    </row>
    <row r="274" spans="1:14" ht="21.75" thickBot="1" thickTop="1">
      <c r="A274" s="339"/>
      <c r="B274" s="411"/>
      <c r="C274" s="411"/>
      <c r="D274" s="663"/>
      <c r="E274" s="823"/>
      <c r="F274" s="824"/>
      <c r="G274" s="823"/>
      <c r="H274" s="824"/>
      <c r="I274" s="823"/>
      <c r="J274" s="824"/>
      <c r="K274" s="823"/>
      <c r="L274" s="824"/>
      <c r="M274" s="823"/>
      <c r="N274" s="824"/>
    </row>
    <row r="275" spans="1:14" ht="21.75" thickBot="1" thickTop="1">
      <c r="A275" s="339"/>
      <c r="B275" s="411"/>
      <c r="C275" s="411"/>
      <c r="D275" s="720" t="s">
        <v>494</v>
      </c>
      <c r="E275" s="825">
        <f>E326</f>
        <v>243669.24162274518</v>
      </c>
      <c r="F275" s="822"/>
      <c r="G275" s="825">
        <f>G326</f>
        <v>225943.83287860022</v>
      </c>
      <c r="H275" s="822"/>
      <c r="I275" s="825">
        <f>I326</f>
        <v>196410.5307159949</v>
      </c>
      <c r="J275" s="822"/>
      <c r="K275" s="825">
        <f>K326</f>
        <v>90083.44954454352</v>
      </c>
      <c r="L275" s="822"/>
      <c r="M275" s="825"/>
      <c r="N275" s="822"/>
    </row>
    <row r="276" spans="1:14" ht="21" thickBot="1">
      <c r="A276" s="339"/>
      <c r="B276" s="411"/>
      <c r="C276" s="411"/>
      <c r="D276" s="720" t="s">
        <v>500</v>
      </c>
      <c r="E276" s="942">
        <f>E327</f>
        <v>0.48673261351570385</v>
      </c>
      <c r="F276" s="835"/>
      <c r="G276" s="942">
        <f>G327</f>
        <v>0.45132586924951884</v>
      </c>
      <c r="H276" s="835"/>
      <c r="I276" s="942">
        <f>I327</f>
        <v>0.39233269780275354</v>
      </c>
      <c r="J276" s="835"/>
      <c r="K276" s="942">
        <f>K327</f>
        <v>0.1799429117082001</v>
      </c>
      <c r="L276" s="835"/>
      <c r="M276" s="836"/>
      <c r="N276" s="835"/>
    </row>
    <row r="277" spans="1:14" ht="15.75">
      <c r="A277" s="339"/>
      <c r="B277" s="411"/>
      <c r="C277" s="411"/>
      <c r="D277" s="606">
        <f>D328</f>
        <v>0</v>
      </c>
      <c r="E277" s="668">
        <f>E328</f>
        <v>0</v>
      </c>
      <c r="F277" s="662"/>
      <c r="G277" s="668">
        <f>G328</f>
        <v>0</v>
      </c>
      <c r="H277" s="662"/>
      <c r="I277" s="668">
        <f>I328</f>
        <v>0</v>
      </c>
      <c r="J277" s="662"/>
      <c r="K277" s="668">
        <f>K328</f>
        <v>0</v>
      </c>
      <c r="L277" s="662"/>
      <c r="M277" s="668">
        <f>M328</f>
        <v>0</v>
      </c>
      <c r="N277" s="662"/>
    </row>
    <row r="278" spans="1:14" ht="15">
      <c r="A278" s="339"/>
      <c r="B278" s="411"/>
      <c r="C278" s="411"/>
      <c r="D278" s="490">
        <f>D329</f>
        <v>0</v>
      </c>
      <c r="E278" s="574"/>
      <c r="F278" s="336"/>
      <c r="G278" s="574"/>
      <c r="H278" s="336"/>
      <c r="I278" s="574"/>
      <c r="J278" s="336"/>
      <c r="K278" s="574"/>
      <c r="L278" s="336"/>
      <c r="M278" s="574"/>
      <c r="N278" s="336"/>
    </row>
    <row r="279" spans="1:14" ht="20.25">
      <c r="A279" s="339"/>
      <c r="B279" s="339"/>
      <c r="C279" s="411"/>
      <c r="D279" s="855" t="str">
        <f>D330</f>
        <v>MEDIO AGUINALDO</v>
      </c>
      <c r="E279" s="856"/>
      <c r="F279" s="857"/>
      <c r="G279" s="856"/>
      <c r="H279" s="857"/>
      <c r="I279" s="856"/>
      <c r="J279" s="857"/>
      <c r="K279" s="856"/>
      <c r="L279" s="857"/>
      <c r="M279" s="856"/>
      <c r="N279" s="857"/>
    </row>
    <row r="280" spans="1:14" ht="15">
      <c r="A280" s="339"/>
      <c r="B280" s="339"/>
      <c r="C280" s="339"/>
      <c r="D280" s="858"/>
      <c r="E280" s="596"/>
      <c r="F280" s="859"/>
      <c r="G280" s="596"/>
      <c r="H280" s="859"/>
      <c r="I280" s="596"/>
      <c r="J280" s="859"/>
      <c r="K280" s="596"/>
      <c r="L280" s="859"/>
      <c r="M280" s="596"/>
      <c r="N280" s="859"/>
    </row>
    <row r="281" spans="1:14" ht="15.75">
      <c r="A281" s="339"/>
      <c r="B281" s="339"/>
      <c r="C281" s="339"/>
      <c r="D281" s="604" t="str">
        <f>D332</f>
        <v>Código 550</v>
      </c>
      <c r="E281" s="860">
        <f>E332</f>
        <v>392145.2192758727</v>
      </c>
      <c r="F281" s="861"/>
      <c r="G281" s="860">
        <f>G332</f>
        <v>382806.2262599902</v>
      </c>
      <c r="H281" s="861"/>
      <c r="I281" s="860">
        <f>I332</f>
        <v>367246.0038350137</v>
      </c>
      <c r="J281" s="861"/>
      <c r="K281" s="860">
        <f>K332</f>
        <v>311225.41312297405</v>
      </c>
      <c r="L281" s="861"/>
      <c r="M281" s="860">
        <f>M332</f>
        <v>263763.11093933677</v>
      </c>
      <c r="N281" s="861"/>
    </row>
    <row r="282" spans="1:14" ht="15">
      <c r="A282" s="339"/>
      <c r="B282" s="339"/>
      <c r="C282" s="339"/>
      <c r="D282" s="862"/>
      <c r="E282" s="596"/>
      <c r="F282" s="859"/>
      <c r="G282" s="596"/>
      <c r="H282" s="859"/>
      <c r="I282" s="596"/>
      <c r="J282" s="859"/>
      <c r="K282" s="596"/>
      <c r="L282" s="859"/>
      <c r="M282" s="596"/>
      <c r="N282" s="859"/>
    </row>
    <row r="283" spans="1:14" ht="15.75">
      <c r="A283" s="339"/>
      <c r="B283" s="339"/>
      <c r="C283" s="339"/>
      <c r="D283" s="604" t="str">
        <f aca="true" t="shared" si="42" ref="D283:D289">D334</f>
        <v>Descuentos</v>
      </c>
      <c r="E283" s="596"/>
      <c r="F283" s="861"/>
      <c r="G283" s="596"/>
      <c r="H283" s="861"/>
      <c r="I283" s="596"/>
      <c r="J283" s="861"/>
      <c r="K283" s="596"/>
      <c r="L283" s="861"/>
      <c r="M283" s="596"/>
      <c r="N283" s="861"/>
    </row>
    <row r="284" spans="1:14" ht="15">
      <c r="A284" s="339"/>
      <c r="B284" s="406">
        <f>B335</f>
        <v>703</v>
      </c>
      <c r="C284" s="851">
        <f>C335</f>
        <v>0.0025</v>
      </c>
      <c r="D284" s="595" t="str">
        <f t="shared" si="42"/>
        <v>Federación de  jubil</v>
      </c>
      <c r="E284" s="602">
        <f aca="true" t="shared" si="43" ref="E284:E289">E335</f>
        <v>980.3630481896818</v>
      </c>
      <c r="F284" s="653"/>
      <c r="G284" s="602">
        <f aca="true" t="shared" si="44" ref="G284:G289">G335</f>
        <v>957.0155656499755</v>
      </c>
      <c r="H284" s="653"/>
      <c r="I284" s="602">
        <f aca="true" t="shared" si="45" ref="I284:I289">I335</f>
        <v>918.1150095875344</v>
      </c>
      <c r="J284" s="653"/>
      <c r="K284" s="602">
        <f aca="true" t="shared" si="46" ref="K284:K289">K335</f>
        <v>778.0635328074351</v>
      </c>
      <c r="L284" s="653"/>
      <c r="M284" s="602">
        <f aca="true" t="shared" si="47" ref="M284:M289">M335</f>
        <v>659.4077773483419</v>
      </c>
      <c r="N284" s="653"/>
    </row>
    <row r="285" spans="1:14" ht="15">
      <c r="A285" s="339"/>
      <c r="B285" s="407">
        <f>B336</f>
        <v>707</v>
      </c>
      <c r="C285" s="852">
        <f>C336</f>
        <v>0.03</v>
      </c>
      <c r="D285" s="404" t="str">
        <f t="shared" si="42"/>
        <v>Aporte IOSPER</v>
      </c>
      <c r="E285" s="602">
        <f t="shared" si="43"/>
        <v>11764.35657827618</v>
      </c>
      <c r="F285" s="651"/>
      <c r="G285" s="602">
        <f t="shared" si="44"/>
        <v>11484.186787799705</v>
      </c>
      <c r="H285" s="651"/>
      <c r="I285" s="602">
        <f t="shared" si="45"/>
        <v>11017.380115050411</v>
      </c>
      <c r="J285" s="651"/>
      <c r="K285" s="602">
        <f t="shared" si="46"/>
        <v>9336.762393689221</v>
      </c>
      <c r="L285" s="651"/>
      <c r="M285" s="602">
        <f t="shared" si="47"/>
        <v>7912.893328180103</v>
      </c>
      <c r="N285" s="651"/>
    </row>
    <row r="286" spans="1:14" ht="15.75">
      <c r="A286" s="339"/>
      <c r="B286" s="407">
        <f>B337</f>
        <v>709</v>
      </c>
      <c r="C286" s="853">
        <v>0.0015</v>
      </c>
      <c r="D286" s="404" t="str">
        <f t="shared" si="42"/>
        <v>Seguro ley 3011</v>
      </c>
      <c r="E286" s="602">
        <f t="shared" si="43"/>
        <v>588.2178289138091</v>
      </c>
      <c r="F286" s="651"/>
      <c r="G286" s="602">
        <f t="shared" si="44"/>
        <v>574.2093393899853</v>
      </c>
      <c r="H286" s="651"/>
      <c r="I286" s="602">
        <f t="shared" si="45"/>
        <v>550.8690057525206</v>
      </c>
      <c r="J286" s="651"/>
      <c r="K286" s="602">
        <f t="shared" si="46"/>
        <v>466.8381196844611</v>
      </c>
      <c r="L286" s="651"/>
      <c r="M286" s="602">
        <f t="shared" si="47"/>
        <v>395.64466640900514</v>
      </c>
      <c r="N286" s="651"/>
    </row>
    <row r="287" spans="1:14" ht="15">
      <c r="A287" s="339"/>
      <c r="B287" s="407">
        <f>B338</f>
        <v>713</v>
      </c>
      <c r="C287" s="854">
        <f>C338</f>
        <v>0.007</v>
      </c>
      <c r="D287" s="404" t="str">
        <f t="shared" si="42"/>
        <v>Serv Sepelio IAPS</v>
      </c>
      <c r="E287" s="602">
        <f t="shared" si="43"/>
        <v>2745.0165349311087</v>
      </c>
      <c r="F287" s="651"/>
      <c r="G287" s="602">
        <f t="shared" si="44"/>
        <v>2679.6435838199313</v>
      </c>
      <c r="H287" s="651"/>
      <c r="I287" s="602">
        <f t="shared" si="45"/>
        <v>2570.722026845096</v>
      </c>
      <c r="J287" s="651"/>
      <c r="K287" s="602">
        <f t="shared" si="46"/>
        <v>2178.5778918608185</v>
      </c>
      <c r="L287" s="651"/>
      <c r="M287" s="602">
        <f t="shared" si="47"/>
        <v>1846.3417765753575</v>
      </c>
      <c r="N287" s="651"/>
    </row>
    <row r="288" spans="1:14" ht="15">
      <c r="A288" s="339"/>
      <c r="B288" s="407">
        <f>B339</f>
        <v>787</v>
      </c>
      <c r="C288" s="852">
        <f>C339</f>
        <v>0.01</v>
      </c>
      <c r="D288" s="404" t="str">
        <f t="shared" si="42"/>
        <v>Desc AGMER 1 %</v>
      </c>
      <c r="E288" s="602">
        <f t="shared" si="43"/>
        <v>3921.452192758727</v>
      </c>
      <c r="F288" s="651"/>
      <c r="G288" s="602">
        <f t="shared" si="44"/>
        <v>3828.062262599902</v>
      </c>
      <c r="H288" s="651"/>
      <c r="I288" s="602">
        <f t="shared" si="45"/>
        <v>3672.4600383501374</v>
      </c>
      <c r="J288" s="651"/>
      <c r="K288" s="602">
        <f t="shared" si="46"/>
        <v>3112.2541312297403</v>
      </c>
      <c r="L288" s="651"/>
      <c r="M288" s="602">
        <f t="shared" si="47"/>
        <v>2637.6311093933678</v>
      </c>
      <c r="N288" s="651"/>
    </row>
    <row r="289" spans="1:14" ht="15.75">
      <c r="A289" s="339"/>
      <c r="B289" s="339"/>
      <c r="D289" s="408" t="str">
        <f t="shared" si="42"/>
        <v>Total Descuentos</v>
      </c>
      <c r="E289" s="173">
        <f t="shared" si="43"/>
        <v>19999.406183069506</v>
      </c>
      <c r="F289" s="863"/>
      <c r="G289" s="173">
        <f t="shared" si="44"/>
        <v>19523.1175392595</v>
      </c>
      <c r="H289" s="863"/>
      <c r="I289" s="173">
        <f t="shared" si="45"/>
        <v>18729.5461955857</v>
      </c>
      <c r="J289" s="863"/>
      <c r="K289" s="173">
        <f t="shared" si="46"/>
        <v>15872.496069271674</v>
      </c>
      <c r="L289" s="863"/>
      <c r="M289" s="173">
        <f t="shared" si="47"/>
        <v>13451.918657906173</v>
      </c>
      <c r="N289" s="863"/>
    </row>
    <row r="290" spans="1:14" ht="15.75">
      <c r="A290" s="339"/>
      <c r="B290" s="339"/>
      <c r="C290" s="339"/>
      <c r="D290" s="404"/>
      <c r="E290" s="864"/>
      <c r="F290" s="651"/>
      <c r="G290" s="864"/>
      <c r="H290" s="651"/>
      <c r="I290" s="864"/>
      <c r="J290" s="651"/>
      <c r="K290" s="864"/>
      <c r="L290" s="651"/>
      <c r="M290" s="864"/>
      <c r="N290" s="651"/>
    </row>
    <row r="291" spans="1:14" ht="20.25">
      <c r="A291" s="339"/>
      <c r="B291" s="339"/>
      <c r="C291" s="339"/>
      <c r="D291" s="865" t="str">
        <f>D342</f>
        <v>Líquido</v>
      </c>
      <c r="E291" s="866">
        <f>E342</f>
        <v>372145.8130928032</v>
      </c>
      <c r="F291" s="867"/>
      <c r="G291" s="866">
        <f>G342</f>
        <v>363283.1087207307</v>
      </c>
      <c r="H291" s="867"/>
      <c r="I291" s="866">
        <f>I342</f>
        <v>348516.45763942803</v>
      </c>
      <c r="J291" s="867"/>
      <c r="K291" s="866">
        <f>K342</f>
        <v>295352.91705370235</v>
      </c>
      <c r="L291" s="867"/>
      <c r="M291" s="866">
        <f>M342</f>
        <v>250311.1922814306</v>
      </c>
      <c r="N291" s="867"/>
    </row>
    <row r="292" spans="1:14" ht="16.5" hidden="1" thickBot="1">
      <c r="A292" s="339"/>
      <c r="B292" s="639"/>
      <c r="C292" s="444"/>
      <c r="D292" s="635"/>
      <c r="E292" s="571"/>
      <c r="F292" s="655"/>
      <c r="G292" s="571"/>
      <c r="H292" s="655"/>
      <c r="I292" s="571"/>
      <c r="J292" s="655"/>
      <c r="K292" s="571"/>
      <c r="L292" s="655"/>
      <c r="M292" s="571"/>
      <c r="N292" s="655"/>
    </row>
    <row r="293" spans="1:14" ht="24" hidden="1" thickBot="1">
      <c r="A293" s="339"/>
      <c r="B293" s="678"/>
      <c r="C293" s="678"/>
      <c r="D293" s="672" t="s">
        <v>23</v>
      </c>
      <c r="E293" s="737">
        <f>E317</f>
        <v>744291.6261856064</v>
      </c>
      <c r="F293" s="738"/>
      <c r="G293" s="737">
        <f>G317</f>
        <v>726566.2174414614</v>
      </c>
      <c r="H293" s="738"/>
      <c r="I293" s="737">
        <f>I317</f>
        <v>697032.9152788561</v>
      </c>
      <c r="J293" s="738"/>
      <c r="K293" s="737">
        <f>K317</f>
        <v>590705.8341074047</v>
      </c>
      <c r="L293" s="738"/>
      <c r="M293" s="737">
        <f>M317</f>
        <v>500622.3845628612</v>
      </c>
      <c r="N293" s="738"/>
    </row>
    <row r="294" spans="1:14" ht="24" hidden="1" thickBot="1">
      <c r="A294" s="339"/>
      <c r="B294" s="678"/>
      <c r="C294" s="678"/>
      <c r="D294" s="672" t="s">
        <v>521</v>
      </c>
      <c r="E294" s="737">
        <f>E318</f>
        <v>0</v>
      </c>
      <c r="F294" s="738"/>
      <c r="G294" s="737">
        <f>G318</f>
        <v>0</v>
      </c>
      <c r="H294" s="738"/>
      <c r="I294" s="737">
        <f>I318</f>
        <v>0</v>
      </c>
      <c r="J294" s="738"/>
      <c r="K294" s="737">
        <f>K318</f>
        <v>615705.8341074047</v>
      </c>
      <c r="L294" s="738"/>
      <c r="M294" s="737"/>
      <c r="N294" s="738"/>
    </row>
    <row r="295" spans="1:14" ht="17.25" customHeight="1" hidden="1" thickBot="1">
      <c r="A295" s="339"/>
      <c r="B295" s="705" t="s">
        <v>11</v>
      </c>
      <c r="C295" s="678"/>
      <c r="D295" s="752">
        <f>D235*64.73</f>
        <v>2330.28</v>
      </c>
      <c r="E295" s="706"/>
      <c r="F295" s="753"/>
      <c r="G295" s="706"/>
      <c r="H295" s="753"/>
      <c r="I295" s="706"/>
      <c r="J295" s="753"/>
      <c r="K295" s="706"/>
      <c r="L295" s="753"/>
      <c r="M295" s="706"/>
      <c r="N295" s="753"/>
    </row>
    <row r="296" spans="2:14" ht="21" hidden="1" thickBot="1">
      <c r="B296" s="726"/>
      <c r="C296" s="741"/>
      <c r="D296" s="754"/>
      <c r="E296" s="901">
        <v>45383</v>
      </c>
      <c r="F296" s="902">
        <v>0.4668</v>
      </c>
      <c r="G296" s="901">
        <v>45352</v>
      </c>
      <c r="H296" s="902">
        <v>0.4514</v>
      </c>
      <c r="I296" s="901">
        <v>45323</v>
      </c>
      <c r="J296" s="902">
        <f>1.18*1.18-1</f>
        <v>0.39239999999999986</v>
      </c>
      <c r="K296" s="901">
        <v>45292</v>
      </c>
      <c r="L296" s="902">
        <v>0.18</v>
      </c>
      <c r="M296" s="901">
        <v>45261</v>
      </c>
      <c r="N296" s="902">
        <f>aumento10-1</f>
        <v>1.4117000000000002</v>
      </c>
    </row>
    <row r="297" spans="2:14" ht="13.5" hidden="1" thickBot="1">
      <c r="B297" s="726"/>
      <c r="C297" s="726"/>
      <c r="D297" s="741"/>
      <c r="E297" s="726"/>
      <c r="F297" s="742"/>
      <c r="G297" s="726"/>
      <c r="H297" s="742"/>
      <c r="I297" s="726"/>
      <c r="J297" s="742"/>
      <c r="K297" s="726"/>
      <c r="L297" s="742"/>
      <c r="M297" s="726"/>
      <c r="N297" s="742"/>
    </row>
    <row r="298" spans="2:14" ht="15.75" hidden="1" thickBot="1">
      <c r="B298" s="678">
        <v>400</v>
      </c>
      <c r="C298" s="678"/>
      <c r="D298" s="678" t="s">
        <v>13</v>
      </c>
      <c r="E298" s="679">
        <f>puntotalhorasmed*indiceabr24*porjubhormed</f>
        <v>263968.6888476</v>
      </c>
      <c r="F298" s="674"/>
      <c r="G298" s="679">
        <f>puntotalhorasmed*indicemar24*porjubhormed</f>
        <v>257682.25054655998</v>
      </c>
      <c r="H298" s="674"/>
      <c r="I298" s="679">
        <f>puntotalhorasmed*indicefeb24*porjubhormed</f>
        <v>247208.03809415997</v>
      </c>
      <c r="J298" s="674"/>
      <c r="K298" s="679">
        <f>puntotalhorasmed*indiceene24*porjubhormed</f>
        <v>209498.27453726402</v>
      </c>
      <c r="L298" s="674"/>
      <c r="M298" s="679">
        <f>puntotalhorasmed*indicedic23*porjubhormed</f>
        <v>177540.9106248</v>
      </c>
      <c r="N298" s="674"/>
    </row>
    <row r="299" spans="2:14" ht="15.75" hidden="1" thickBot="1">
      <c r="B299" s="678">
        <v>406</v>
      </c>
      <c r="C299" s="678"/>
      <c r="D299" s="678" t="s">
        <v>14</v>
      </c>
      <c r="E299" s="679">
        <f>E298*porcantighorasmed</f>
        <v>316762.42661712</v>
      </c>
      <c r="F299" s="674"/>
      <c r="G299" s="679">
        <f>G298*porcantighorasmed</f>
        <v>309218.70065587194</v>
      </c>
      <c r="H299" s="674"/>
      <c r="I299" s="679">
        <f>I298*porcantighorasmed</f>
        <v>296649.64571299194</v>
      </c>
      <c r="J299" s="674"/>
      <c r="K299" s="679">
        <f>K298*porcantighorasmed</f>
        <v>251397.9294447168</v>
      </c>
      <c r="L299" s="674"/>
      <c r="M299" s="679">
        <f>M298*porcantighorasmed</f>
        <v>213049.09274976</v>
      </c>
      <c r="N299" s="674"/>
    </row>
    <row r="300" spans="2:14" ht="15.75" hidden="1" thickBot="1">
      <c r="B300" s="678">
        <v>432</v>
      </c>
      <c r="C300" s="678"/>
      <c r="D300" s="678" t="s">
        <v>317</v>
      </c>
      <c r="E300" s="679">
        <f>IF(porcantighorasmed&lt;100%,IF(numhorasmed&gt;36,36*2096.1,2096.1*numhorasmed),IF(numhorasmed&gt;36,36*2078.49,2078.49*numhorasmed))*porjubhormed*1.0678</f>
        <v>65517.031081439985</v>
      </c>
      <c r="F300" s="674"/>
      <c r="G300" s="679">
        <f>IF(porcantighorasmed&lt;100%,IF(numhorasmed&gt;36,36*2096.1,2096.1*numhorasmed),IF(numhorasmed&gt;36,36*2078.49,2078.49*numhorasmed))*porjubhormed*1.04237</f>
        <v>63956.721940775984</v>
      </c>
      <c r="H300" s="674"/>
      <c r="I300" s="679">
        <f>IF(porcantighorasmed&lt;100%,IF(numhorasmed&gt;36,36*2096.1,2096.1*numhorasmed),IF(numhorasmed&gt;36,36*2078.49,2078.49*numhorasmed))*porjubhormed</f>
        <v>61357.024799999985</v>
      </c>
      <c r="J300" s="674"/>
      <c r="K300" s="679">
        <f>IF(numhorasmed&gt;36,36*619.1,619.1*numhorasmed)*porjubhormed*Aumento11</f>
        <v>51997.50998785973</v>
      </c>
      <c r="L300" s="674"/>
      <c r="M300" s="679">
        <f>IF(numhorasmed&gt;36,36*619.1,619.1*numhorasmed)*porjubhormed*aumento10</f>
        <v>44075.82403440001</v>
      </c>
      <c r="N300" s="674"/>
    </row>
    <row r="301" spans="2:14" ht="15.75" hidden="1" thickBot="1">
      <c r="B301" s="678">
        <v>434</v>
      </c>
      <c r="C301" s="678"/>
      <c r="D301" s="678" t="s">
        <v>313</v>
      </c>
      <c r="E301" s="679">
        <f>(E298+E299+E300+E302+E303+E305)*0.07*0.95</f>
        <v>48903.24816098553</v>
      </c>
      <c r="F301" s="674"/>
      <c r="G301" s="679">
        <f>(G298+G299+G300+G302+G303+G305)*0.07*0.95</f>
        <v>47738.610494682325</v>
      </c>
      <c r="H301" s="674"/>
      <c r="I301" s="679">
        <f>(I298+I299+I300+I302+I303+I305)*0.07*0.95</f>
        <v>45798.1420628756</v>
      </c>
      <c r="J301" s="674"/>
      <c r="K301" s="679">
        <f>(K298+K299+K300+K302+K303+K305)*0.07*0.95</f>
        <v>38811.98307112569</v>
      </c>
      <c r="L301" s="674"/>
      <c r="M301" s="679">
        <f>(M298+M299+M300+M302+M303+M305)*0.07*0.95</f>
        <v>32893.1024425052</v>
      </c>
      <c r="N301" s="674"/>
    </row>
    <row r="302" spans="2:14" ht="15.75" hidden="1" thickBot="1">
      <c r="B302" s="682">
        <v>1458</v>
      </c>
      <c r="C302" s="678"/>
      <c r="D302" s="755" t="s">
        <v>470</v>
      </c>
      <c r="E302" s="684">
        <f>IF(numhorasmed&gt;18,30002.03,1666.78*numhorasmed)*porjubhormed*adichsmedia*1.0678</f>
        <v>26269.65745988</v>
      </c>
      <c r="F302" s="756"/>
      <c r="G302" s="684">
        <f>IF(numhorasmed&gt;18,30002.03,1666.78*numhorasmed)*porjubhormed*adichsmedia*1.04237</f>
        <v>25644.037129102</v>
      </c>
      <c r="H302" s="756"/>
      <c r="I302" s="684">
        <f>IF(numhorasmed&gt;18,30002.03,1666.78*numhorasmed)*porjubhormed*adichsmedia</f>
        <v>24601.664599999996</v>
      </c>
      <c r="J302" s="756"/>
      <c r="K302" s="684">
        <f>IF(numhorasmed&gt;18,18*496.4672,496.4672*numhorasmed)*porjubhormed*adichsmedia*Aumento11</f>
        <v>20848.859788923233</v>
      </c>
      <c r="L302" s="756"/>
      <c r="M302" s="684">
        <f>IF(numhorasmed&gt;18,18*496.4672,496.4672*numhorasmed)*porjubhormed*adichsmedia*aumento10</f>
        <v>17672.5900065024</v>
      </c>
      <c r="N302" s="756"/>
    </row>
    <row r="303" spans="2:14" ht="15.75" hidden="1" thickBot="1">
      <c r="B303" s="680">
        <v>437</v>
      </c>
      <c r="C303" s="678"/>
      <c r="D303" s="688" t="s">
        <v>484</v>
      </c>
      <c r="E303" s="743">
        <f>IF(numhorasmed&gt;30,21191.14,706.37*numhorasmed)*porjubhormed*1.0678</f>
        <v>18554.87741944</v>
      </c>
      <c r="F303" s="690"/>
      <c r="G303" s="743">
        <f>IF(numhorasmed&gt;30,21191.14,706.37*numhorasmed)*porjubhormed*1.04237</f>
        <v>18112.987053475998</v>
      </c>
      <c r="H303" s="690"/>
      <c r="I303" s="743">
        <f>IF(numhorasmed&gt;30,21191.14,706.37*numhorasmed)*porjubhormed</f>
        <v>17376.7348</v>
      </c>
      <c r="J303" s="690"/>
      <c r="K303" s="743">
        <f>IF(numhorasmed&gt;30,210.4013*30,210.4013*numhorasmed)*porjubhormed*Aumento11</f>
        <v>14726.139689614858</v>
      </c>
      <c r="L303" s="690"/>
      <c r="M303" s="743">
        <f>IF(numhorasmed&gt;30,210.4013*30,210.4013*numhorasmed)*porjubhormed*aumento10</f>
        <v>12482.650454166002</v>
      </c>
      <c r="N303" s="690"/>
    </row>
    <row r="304" spans="2:14" ht="16.5" hidden="1" thickBot="1">
      <c r="B304" s="678"/>
      <c r="C304" s="678"/>
      <c r="D304" s="678" t="s">
        <v>327</v>
      </c>
      <c r="E304" s="691">
        <f>E253</f>
        <v>0</v>
      </c>
      <c r="F304" s="674"/>
      <c r="G304" s="691">
        <f>G253</f>
        <v>0</v>
      </c>
      <c r="H304" s="674"/>
      <c r="I304" s="691">
        <f>I253</f>
        <v>0</v>
      </c>
      <c r="J304" s="674"/>
      <c r="K304" s="691">
        <f>K253</f>
        <v>0</v>
      </c>
      <c r="L304" s="674"/>
      <c r="M304" s="691">
        <f>M253</f>
        <v>0</v>
      </c>
      <c r="N304" s="674"/>
    </row>
    <row r="305" spans="2:14" ht="16.5" hidden="1" thickBot="1">
      <c r="B305" s="744">
        <v>1584</v>
      </c>
      <c r="C305" s="757">
        <f>C254</f>
        <v>15</v>
      </c>
      <c r="D305" s="746" t="s">
        <v>490</v>
      </c>
      <c r="E305" s="743">
        <f>IF($C305="",IF(numhorasmed&lt;15,3374.05*numhorasmed,50610.68),IF($C305&lt;15,3374.05*$C305,50610.68))*porjubhormed*1.0678</f>
        <v>44314.50896528</v>
      </c>
      <c r="F305" s="690"/>
      <c r="G305" s="743">
        <f>IF($C305="",IF(numhorasmed&lt;15,3374.05*numhorasmed,50610.68),IF($C305&lt;15,3374.05*$C305,50610.68))*porjubhormed*1.04237</f>
        <v>43259.144699512</v>
      </c>
      <c r="H305" s="690"/>
      <c r="I305" s="743">
        <f>IF($C305="",IF(numhorasmed&lt;15,3374.05*numhorasmed,50610.68),IF($C305&lt;15,3374.05*$C305,50610.68))*porjubhormed</f>
        <v>41500.7576</v>
      </c>
      <c r="J305" s="690"/>
      <c r="K305" s="743">
        <f>IF($C305="",IF(numhorasmed&lt;15,1004.9945*numhorasmed,15074.91),IF($C305&lt;15,1004.994*$C305,15074.91))*porjubhormed*Aumento11</f>
        <v>35170.129726443694</v>
      </c>
      <c r="L305" s="690"/>
      <c r="M305" s="743">
        <f>IF($C305="",IF(numhorasmed&lt;15,1004.9945*numhorasmed,15074.91),IF($C305&lt;15,1004.994*$C305,15074.91))*porjubhormed*aumento10</f>
        <v>29812.05156654</v>
      </c>
      <c r="N305" s="690"/>
    </row>
    <row r="306" spans="2:14" ht="18.75" hidden="1" thickBot="1">
      <c r="B306" s="678"/>
      <c r="C306" s="726"/>
      <c r="D306" s="693" t="s">
        <v>15</v>
      </c>
      <c r="E306" s="732">
        <f>SUM(E298:E305)</f>
        <v>784290.4385517454</v>
      </c>
      <c r="F306" s="695"/>
      <c r="G306" s="732">
        <f>SUM(G298:G305)</f>
        <v>765612.4525199804</v>
      </c>
      <c r="H306" s="695"/>
      <c r="I306" s="732">
        <f>SUM(I298:I305)</f>
        <v>734492.0076700274</v>
      </c>
      <c r="J306" s="695"/>
      <c r="K306" s="732">
        <f>SUM(K298:K305)</f>
        <v>622450.8262459481</v>
      </c>
      <c r="L306" s="695"/>
      <c r="M306" s="732">
        <f>SUM(M298:M305)</f>
        <v>527526.2218786735</v>
      </c>
      <c r="N306" s="695"/>
    </row>
    <row r="307" spans="2:14" ht="18.75" hidden="1" thickBot="1">
      <c r="B307" s="678"/>
      <c r="C307" s="949">
        <f>C256</f>
        <v>1</v>
      </c>
      <c r="D307" s="693" t="s">
        <v>516</v>
      </c>
      <c r="E307" s="732">
        <v>0</v>
      </c>
      <c r="F307" s="695"/>
      <c r="G307" s="732">
        <v>0</v>
      </c>
      <c r="H307" s="695"/>
      <c r="I307" s="732">
        <v>0</v>
      </c>
      <c r="J307" s="695"/>
      <c r="K307" s="732">
        <f>IF(1666.666*numhorasmed&gt;25000,25000,1666.666*numhorasmed)*C256</f>
        <v>25000</v>
      </c>
      <c r="L307" s="695"/>
      <c r="M307" s="732"/>
      <c r="N307" s="695"/>
    </row>
    <row r="308" spans="2:14" ht="18.75" hidden="1" thickBot="1">
      <c r="B308" s="678"/>
      <c r="C308" s="726"/>
      <c r="D308" s="693" t="s">
        <v>518</v>
      </c>
      <c r="E308" s="732">
        <f>E306+E307</f>
        <v>784290.4385517454</v>
      </c>
      <c r="F308" s="695"/>
      <c r="G308" s="732">
        <f>G306+G307</f>
        <v>765612.4525199804</v>
      </c>
      <c r="H308" s="695"/>
      <c r="I308" s="732">
        <f>I306+I307</f>
        <v>734492.0076700274</v>
      </c>
      <c r="J308" s="695"/>
      <c r="K308" s="732">
        <f>K306+K307</f>
        <v>647450.8262459481</v>
      </c>
      <c r="L308" s="695"/>
      <c r="M308" s="732"/>
      <c r="N308" s="695"/>
    </row>
    <row r="309" spans="2:14" ht="15.75" hidden="1" thickBot="1">
      <c r="B309" s="678">
        <v>703</v>
      </c>
      <c r="C309" s="697">
        <v>0.0025</v>
      </c>
      <c r="D309" s="698" t="s">
        <v>16</v>
      </c>
      <c r="E309" s="699">
        <f>(E306-E304)*$C309</f>
        <v>1960.7260963793635</v>
      </c>
      <c r="F309" s="700"/>
      <c r="G309" s="699">
        <f>(G306-G304)*$C309</f>
        <v>1914.031131299951</v>
      </c>
      <c r="H309" s="700"/>
      <c r="I309" s="699">
        <f>(I306-I304)*$C309</f>
        <v>1836.2300191750687</v>
      </c>
      <c r="J309" s="700"/>
      <c r="K309" s="699">
        <f>(K306-K304)*$C309</f>
        <v>1556.1270656148702</v>
      </c>
      <c r="L309" s="700"/>
      <c r="M309" s="699">
        <f>(M306-M304)*$C309</f>
        <v>1318.8155546966839</v>
      </c>
      <c r="N309" s="700"/>
    </row>
    <row r="310" spans="2:14" ht="15.75" hidden="1" thickBot="1">
      <c r="B310" s="671">
        <v>707</v>
      </c>
      <c r="C310" s="701">
        <v>0.03</v>
      </c>
      <c r="D310" s="678" t="s">
        <v>17</v>
      </c>
      <c r="E310" s="699">
        <f>(E306-E304)*$C310</f>
        <v>23528.71315655236</v>
      </c>
      <c r="F310" s="674"/>
      <c r="G310" s="699">
        <f>(G306-G304)*$C310</f>
        <v>22968.37357559941</v>
      </c>
      <c r="H310" s="674"/>
      <c r="I310" s="699">
        <f>(I306-I304)*$C310</f>
        <v>22034.760230100823</v>
      </c>
      <c r="J310" s="674"/>
      <c r="K310" s="699">
        <f>(K306-K304)*$C310</f>
        <v>18673.524787378443</v>
      </c>
      <c r="L310" s="674"/>
      <c r="M310" s="699">
        <f>(M306-M304)*$C310</f>
        <v>15825.786656360206</v>
      </c>
      <c r="N310" s="674"/>
    </row>
    <row r="311" spans="2:14" ht="16.5" hidden="1" thickBot="1">
      <c r="B311" s="671">
        <v>709</v>
      </c>
      <c r="C311" s="758">
        <f>C260</f>
        <v>0.0015</v>
      </c>
      <c r="D311" s="678" t="s">
        <v>18</v>
      </c>
      <c r="E311" s="699">
        <f>(E306-E304)*$C311</f>
        <v>1176.4356578276181</v>
      </c>
      <c r="F311" s="674"/>
      <c r="G311" s="699">
        <f>(G306-G304)*$C311</f>
        <v>1148.4186787799706</v>
      </c>
      <c r="H311" s="674"/>
      <c r="I311" s="699">
        <f>(I306-I304)*$C311</f>
        <v>1101.7380115050412</v>
      </c>
      <c r="J311" s="674"/>
      <c r="K311" s="699">
        <f>(K306-K304)*$C311</f>
        <v>933.6762393689222</v>
      </c>
      <c r="L311" s="674"/>
      <c r="M311" s="699">
        <f>(M306-M304)*$C311</f>
        <v>791.2893328180103</v>
      </c>
      <c r="N311" s="674"/>
    </row>
    <row r="312" spans="2:14" ht="15.75" hidden="1" thickBot="1">
      <c r="B312" s="671">
        <v>713</v>
      </c>
      <c r="C312" s="703">
        <v>0.007</v>
      </c>
      <c r="D312" s="678" t="s">
        <v>20</v>
      </c>
      <c r="E312" s="699">
        <f>(E306-E304)*$C312</f>
        <v>5490.033069862217</v>
      </c>
      <c r="F312" s="674"/>
      <c r="G312" s="699">
        <f>(G306-G304)*$C312</f>
        <v>5359.287167639863</v>
      </c>
      <c r="H312" s="674"/>
      <c r="I312" s="699">
        <f>(I306-I304)*$C312</f>
        <v>5141.444053690192</v>
      </c>
      <c r="J312" s="674"/>
      <c r="K312" s="699">
        <f>(K306-K304)*$C312</f>
        <v>4357.155783721637</v>
      </c>
      <c r="L312" s="674"/>
      <c r="M312" s="699">
        <f>(M306-M304)*$C312</f>
        <v>3692.683553150715</v>
      </c>
      <c r="N312" s="674"/>
    </row>
    <row r="313" spans="2:14" ht="15.75" hidden="1" thickBot="1">
      <c r="B313" s="671">
        <v>787</v>
      </c>
      <c r="C313" s="701">
        <v>0.01</v>
      </c>
      <c r="D313" s="678" t="s">
        <v>387</v>
      </c>
      <c r="E313" s="699">
        <f>(E306-E304)*$C313</f>
        <v>7842.904385517454</v>
      </c>
      <c r="F313" s="674"/>
      <c r="G313" s="699">
        <f>(G306-G304)*$C313</f>
        <v>7656.124525199804</v>
      </c>
      <c r="H313" s="674"/>
      <c r="I313" s="699">
        <f>(I306-I304)*$C313</f>
        <v>7344.920076700275</v>
      </c>
      <c r="J313" s="674"/>
      <c r="K313" s="699">
        <f>(K306-K304)*$C313</f>
        <v>6224.508262459481</v>
      </c>
      <c r="L313" s="674"/>
      <c r="M313" s="699">
        <f>(M306-M304)*$C313</f>
        <v>5275.2622187867355</v>
      </c>
      <c r="N313" s="674"/>
    </row>
    <row r="314" spans="2:14" ht="16.5" hidden="1" thickBot="1">
      <c r="B314" s="671"/>
      <c r="C314" s="671"/>
      <c r="D314" s="678" t="s">
        <v>21</v>
      </c>
      <c r="E314" s="704">
        <f>E263</f>
        <v>0</v>
      </c>
      <c r="F314" s="674"/>
      <c r="G314" s="704">
        <f>G263</f>
        <v>0</v>
      </c>
      <c r="H314" s="674"/>
      <c r="I314" s="704">
        <f>I263</f>
        <v>0</v>
      </c>
      <c r="J314" s="674"/>
      <c r="K314" s="704">
        <f>K263</f>
        <v>0</v>
      </c>
      <c r="L314" s="674"/>
      <c r="M314" s="704">
        <f>M263</f>
        <v>0</v>
      </c>
      <c r="N314" s="674"/>
    </row>
    <row r="315" spans="2:14" ht="16.5" hidden="1" thickBot="1">
      <c r="B315" s="671"/>
      <c r="C315" s="706"/>
      <c r="D315" s="705" t="s">
        <v>22</v>
      </c>
      <c r="E315" s="748">
        <f>SUM(E309:E314)</f>
        <v>39998.81236613901</v>
      </c>
      <c r="F315" s="696"/>
      <c r="G315" s="748">
        <f>SUM(G309:G314)</f>
        <v>39046.235078519</v>
      </c>
      <c r="H315" s="696"/>
      <c r="I315" s="748">
        <f>SUM(I309:I314)</f>
        <v>37459.0923911714</v>
      </c>
      <c r="J315" s="696"/>
      <c r="K315" s="748">
        <f>SUM(K309:K314)</f>
        <v>31744.992138543348</v>
      </c>
      <c r="L315" s="696"/>
      <c r="M315" s="748">
        <f>SUM(M309:M314)</f>
        <v>26903.837315812347</v>
      </c>
      <c r="N315" s="696"/>
    </row>
    <row r="316" spans="2:14" ht="16.5" hidden="1" thickBot="1">
      <c r="B316" s="706"/>
      <c r="C316" s="708"/>
      <c r="D316" s="678"/>
      <c r="E316" s="707"/>
      <c r="F316" s="674"/>
      <c r="G316" s="707"/>
      <c r="H316" s="674"/>
      <c r="I316" s="707"/>
      <c r="J316" s="674"/>
      <c r="K316" s="707"/>
      <c r="L316" s="674"/>
      <c r="M316" s="707"/>
      <c r="N316" s="674"/>
    </row>
    <row r="317" spans="2:14" ht="21" hidden="1" thickBot="1">
      <c r="B317" s="708"/>
      <c r="C317" s="708"/>
      <c r="D317" s="709" t="s">
        <v>23</v>
      </c>
      <c r="E317" s="950">
        <f>E306-E315</f>
        <v>744291.6261856064</v>
      </c>
      <c r="F317" s="951"/>
      <c r="G317" s="950">
        <f>G306-G315</f>
        <v>726566.2174414614</v>
      </c>
      <c r="H317" s="951"/>
      <c r="I317" s="950">
        <f>I306-I315</f>
        <v>697032.9152788561</v>
      </c>
      <c r="J317" s="951"/>
      <c r="K317" s="950">
        <f>K306-K315</f>
        <v>590705.8341074047</v>
      </c>
      <c r="L317" s="951"/>
      <c r="M317" s="950">
        <f>M306-M315</f>
        <v>500622.3845628612</v>
      </c>
      <c r="N317" s="873"/>
    </row>
    <row r="318" spans="2:14" ht="21" hidden="1" thickBot="1">
      <c r="B318" s="708"/>
      <c r="C318" s="708"/>
      <c r="D318" s="709"/>
      <c r="E318" s="950"/>
      <c r="F318" s="982" t="s">
        <v>521</v>
      </c>
      <c r="G318" s="950"/>
      <c r="H318" s="982" t="s">
        <v>521</v>
      </c>
      <c r="I318" s="950"/>
      <c r="J318" s="982" t="s">
        <v>521</v>
      </c>
      <c r="K318" s="950">
        <f>K308-K315</f>
        <v>615705.8341074047</v>
      </c>
      <c r="L318" s="951"/>
      <c r="M318" s="950"/>
      <c r="N318" s="873"/>
    </row>
    <row r="319" spans="2:14" ht="16.5" hidden="1" thickBot="1">
      <c r="B319" s="708"/>
      <c r="C319" s="678"/>
      <c r="D319" s="709"/>
      <c r="E319" s="749"/>
      <c r="F319" s="710"/>
      <c r="G319" s="749"/>
      <c r="H319" s="710"/>
      <c r="I319" s="749"/>
      <c r="J319" s="710"/>
      <c r="K319" s="749"/>
      <c r="L319" s="710"/>
      <c r="M319" s="749"/>
      <c r="N319" s="710"/>
    </row>
    <row r="320" spans="2:14" ht="16.5" hidden="1" thickBot="1">
      <c r="B320" s="678"/>
      <c r="C320" s="750"/>
      <c r="D320" s="715" t="s">
        <v>493</v>
      </c>
      <c r="E320" s="953">
        <f>E317-G317</f>
        <v>17725.408744144952</v>
      </c>
      <c r="F320" s="717"/>
      <c r="G320" s="953">
        <f>G317-I317</f>
        <v>29533.302162605338</v>
      </c>
      <c r="H320" s="717"/>
      <c r="I320" s="953">
        <f>I317-K317</f>
        <v>106327.08117145137</v>
      </c>
      <c r="J320" s="717"/>
      <c r="K320" s="953">
        <f>K317-M317</f>
        <v>90083.44954454352</v>
      </c>
      <c r="L320" s="717"/>
      <c r="M320" s="716"/>
      <c r="N320" s="717"/>
    </row>
    <row r="321" spans="2:14" ht="16.5" hidden="1" thickBot="1">
      <c r="B321" s="678"/>
      <c r="C321" s="750"/>
      <c r="D321" s="715" t="s">
        <v>488</v>
      </c>
      <c r="E321" s="919">
        <f>E320/G317</f>
        <v>0.02439613667500728</v>
      </c>
      <c r="F321" s="717"/>
      <c r="G321" s="919">
        <f>G320/I317</f>
        <v>0.042370025167018405</v>
      </c>
      <c r="H321" s="717"/>
      <c r="I321" s="919">
        <f>I320/K317</f>
        <v>0.18000005253396315</v>
      </c>
      <c r="J321" s="717"/>
      <c r="K321" s="919">
        <f>K320/M317</f>
        <v>0.1799429117082001</v>
      </c>
      <c r="L321" s="717"/>
      <c r="M321" s="719"/>
      <c r="N321" s="717"/>
    </row>
    <row r="322" spans="2:14" ht="15.75" hidden="1" thickBot="1">
      <c r="B322" s="678"/>
      <c r="C322" s="678"/>
      <c r="D322" s="678"/>
      <c r="E322" s="678"/>
      <c r="F322" s="674"/>
      <c r="G322" s="678"/>
      <c r="H322" s="674"/>
      <c r="I322" s="678"/>
      <c r="J322" s="674"/>
      <c r="K322" s="678"/>
      <c r="L322" s="674"/>
      <c r="M322" s="678"/>
      <c r="N322" s="674"/>
    </row>
    <row r="323" spans="2:14" ht="16.5" hidden="1" thickBot="1">
      <c r="B323" s="678"/>
      <c r="C323" s="678"/>
      <c r="D323" s="923" t="s">
        <v>519</v>
      </c>
      <c r="E323" s="954"/>
      <c r="F323" s="674"/>
      <c r="G323" s="954"/>
      <c r="H323" s="674"/>
      <c r="I323" s="954">
        <f>I317-K318</f>
        <v>81327.08117145137</v>
      </c>
      <c r="J323" s="674"/>
      <c r="K323" s="954">
        <f>K318-M317</f>
        <v>115083.44954454352</v>
      </c>
      <c r="L323" s="674"/>
      <c r="M323" s="678"/>
      <c r="N323" s="674"/>
    </row>
    <row r="324" spans="2:14" ht="16.5" hidden="1" thickBot="1">
      <c r="B324" s="678"/>
      <c r="C324" s="678"/>
      <c r="D324" s="923" t="s">
        <v>520</v>
      </c>
      <c r="E324" s="952"/>
      <c r="F324" s="674"/>
      <c r="G324" s="952"/>
      <c r="H324" s="674"/>
      <c r="I324" s="952">
        <f>I323/K318</f>
        <v>0.13208755978307743</v>
      </c>
      <c r="J324" s="674"/>
      <c r="K324" s="952">
        <f>K323/M317</f>
        <v>0.22988075062810728</v>
      </c>
      <c r="L324" s="674"/>
      <c r="M324" s="678"/>
      <c r="N324" s="674"/>
    </row>
    <row r="325" spans="2:14" ht="15.75" hidden="1" thickBot="1">
      <c r="B325" s="678"/>
      <c r="C325" s="678"/>
      <c r="D325" s="678"/>
      <c r="E325" s="678"/>
      <c r="F325" s="674"/>
      <c r="G325" s="678"/>
      <c r="H325" s="674"/>
      <c r="I325" s="678"/>
      <c r="J325" s="674"/>
      <c r="K325" s="678"/>
      <c r="L325" s="674"/>
      <c r="M325" s="678"/>
      <c r="N325" s="674"/>
    </row>
    <row r="326" spans="2:14" ht="16.5" hidden="1" thickBot="1">
      <c r="B326" s="678"/>
      <c r="C326" s="678"/>
      <c r="D326" s="720" t="s">
        <v>494</v>
      </c>
      <c r="E326" s="983">
        <f>E317-$M317</f>
        <v>243669.24162274518</v>
      </c>
      <c r="F326" s="984"/>
      <c r="G326" s="983">
        <f>G317-$M317</f>
        <v>225943.83287860022</v>
      </c>
      <c r="H326" s="984"/>
      <c r="I326" s="983">
        <f>I317-$M317</f>
        <v>196410.5307159949</v>
      </c>
      <c r="J326" s="984"/>
      <c r="K326" s="983">
        <f>K317-$M317</f>
        <v>90083.44954454352</v>
      </c>
      <c r="L326" s="717"/>
      <c r="M326" s="721"/>
      <c r="N326" s="717"/>
    </row>
    <row r="327" spans="2:14" ht="16.5" hidden="1" thickBot="1">
      <c r="B327" s="678"/>
      <c r="C327" s="678"/>
      <c r="D327" s="720" t="s">
        <v>500</v>
      </c>
      <c r="E327" s="725">
        <f>E326/$M317</f>
        <v>0.48673261351570385</v>
      </c>
      <c r="F327" s="717"/>
      <c r="G327" s="725">
        <f>G326/$M317</f>
        <v>0.45132586924951884</v>
      </c>
      <c r="H327" s="717"/>
      <c r="I327" s="725">
        <f>I326/$M317</f>
        <v>0.39233269780275354</v>
      </c>
      <c r="J327" s="717"/>
      <c r="K327" s="725">
        <f>K326/$M317</f>
        <v>0.1799429117082001</v>
      </c>
      <c r="L327" s="717"/>
      <c r="M327" s="722"/>
      <c r="N327" s="717"/>
    </row>
    <row r="328" spans="2:14" ht="16.5" hidden="1" thickBot="1">
      <c r="B328" s="678"/>
      <c r="C328" s="678"/>
      <c r="D328" s="724"/>
      <c r="E328" s="723"/>
      <c r="F328" s="717"/>
      <c r="G328" s="723"/>
      <c r="H328" s="717"/>
      <c r="I328" s="723"/>
      <c r="J328" s="717"/>
      <c r="K328" s="723"/>
      <c r="L328" s="717"/>
      <c r="M328" s="723"/>
      <c r="N328" s="717"/>
    </row>
    <row r="329" spans="2:14" ht="15.75" hidden="1" thickBot="1">
      <c r="B329" s="678"/>
      <c r="C329" s="678"/>
      <c r="D329" s="726"/>
      <c r="E329" s="726"/>
      <c r="F329" s="727"/>
      <c r="G329" s="726"/>
      <c r="H329" s="727"/>
      <c r="I329" s="726"/>
      <c r="J329" s="727"/>
      <c r="K329" s="726"/>
      <c r="L329" s="727"/>
      <c r="M329" s="726"/>
      <c r="N329" s="727"/>
    </row>
    <row r="330" spans="2:14" ht="21" hidden="1" thickBot="1">
      <c r="B330" s="671"/>
      <c r="C330" s="678"/>
      <c r="D330" s="728" t="s">
        <v>479</v>
      </c>
      <c r="E330" s="751"/>
      <c r="F330" s="730"/>
      <c r="G330" s="751"/>
      <c r="H330" s="730"/>
      <c r="I330" s="751"/>
      <c r="J330" s="730"/>
      <c r="K330" s="751"/>
      <c r="L330" s="730"/>
      <c r="M330" s="751"/>
      <c r="N330" s="730"/>
    </row>
    <row r="331" spans="2:14" ht="15.75" hidden="1" thickBot="1">
      <c r="B331" s="671"/>
      <c r="C331" s="671"/>
      <c r="D331" s="731"/>
      <c r="E331" s="671"/>
      <c r="F331" s="692"/>
      <c r="G331" s="671"/>
      <c r="H331" s="692"/>
      <c r="I331" s="671"/>
      <c r="J331" s="692"/>
      <c r="K331" s="671"/>
      <c r="L331" s="692"/>
      <c r="M331" s="671"/>
      <c r="N331" s="692"/>
    </row>
    <row r="332" spans="2:14" ht="16.5" hidden="1" thickBot="1">
      <c r="B332" s="671"/>
      <c r="C332" s="671"/>
      <c r="D332" s="732" t="s">
        <v>480</v>
      </c>
      <c r="E332" s="733">
        <f>E306*0.5</f>
        <v>392145.2192758727</v>
      </c>
      <c r="F332" s="734"/>
      <c r="G332" s="733">
        <f>G306*0.5</f>
        <v>382806.2262599902</v>
      </c>
      <c r="H332" s="734"/>
      <c r="I332" s="733">
        <f>I306*0.5</f>
        <v>367246.0038350137</v>
      </c>
      <c r="J332" s="734"/>
      <c r="K332" s="733">
        <f>K306*0.5</f>
        <v>311225.41312297405</v>
      </c>
      <c r="L332" s="734"/>
      <c r="M332" s="733">
        <f>M306*0.5</f>
        <v>263763.11093933677</v>
      </c>
      <c r="N332" s="734"/>
    </row>
    <row r="333" spans="2:14" ht="15.75" hidden="1" thickBot="1">
      <c r="B333" s="671"/>
      <c r="C333" s="671"/>
      <c r="D333" s="731"/>
      <c r="E333" s="671"/>
      <c r="F333" s="692"/>
      <c r="G333" s="671"/>
      <c r="H333" s="692"/>
      <c r="I333" s="671"/>
      <c r="J333" s="692"/>
      <c r="K333" s="671"/>
      <c r="L333" s="692"/>
      <c r="M333" s="671"/>
      <c r="N333" s="692"/>
    </row>
    <row r="334" spans="2:14" ht="16.5" hidden="1" thickBot="1">
      <c r="B334" s="671"/>
      <c r="C334" s="671"/>
      <c r="D334" s="732" t="s">
        <v>22</v>
      </c>
      <c r="E334" s="671"/>
      <c r="F334" s="734"/>
      <c r="G334" s="671"/>
      <c r="H334" s="734"/>
      <c r="I334" s="671"/>
      <c r="J334" s="734"/>
      <c r="K334" s="671"/>
      <c r="L334" s="734"/>
      <c r="M334" s="671"/>
      <c r="N334" s="734"/>
    </row>
    <row r="335" spans="2:14" ht="15.75" hidden="1" thickBot="1">
      <c r="B335" s="678">
        <v>703</v>
      </c>
      <c r="C335" s="697">
        <v>0.0025</v>
      </c>
      <c r="D335" s="698" t="s">
        <v>316</v>
      </c>
      <c r="E335" s="699">
        <f>E332*0.0025</f>
        <v>980.3630481896818</v>
      </c>
      <c r="F335" s="700"/>
      <c r="G335" s="699">
        <f>G332*0.0025</f>
        <v>957.0155656499755</v>
      </c>
      <c r="H335" s="700"/>
      <c r="I335" s="699">
        <f>I332*0.0025</f>
        <v>918.1150095875344</v>
      </c>
      <c r="J335" s="700"/>
      <c r="K335" s="699">
        <f>K332*0.0025</f>
        <v>778.0635328074351</v>
      </c>
      <c r="L335" s="700"/>
      <c r="M335" s="699">
        <f>M332*0.0025</f>
        <v>659.4077773483419</v>
      </c>
      <c r="N335" s="700"/>
    </row>
    <row r="336" spans="2:14" ht="15.75" hidden="1" thickBot="1">
      <c r="B336" s="671">
        <v>707</v>
      </c>
      <c r="C336" s="701">
        <v>0.03</v>
      </c>
      <c r="D336" s="678" t="s">
        <v>17</v>
      </c>
      <c r="E336" s="699">
        <f>E332*0.03</f>
        <v>11764.35657827618</v>
      </c>
      <c r="F336" s="674"/>
      <c r="G336" s="699">
        <f>G332*0.03</f>
        <v>11484.186787799705</v>
      </c>
      <c r="H336" s="674"/>
      <c r="I336" s="699">
        <f>I332*0.03</f>
        <v>11017.380115050411</v>
      </c>
      <c r="J336" s="674"/>
      <c r="K336" s="699">
        <f>K332*0.03</f>
        <v>9336.762393689221</v>
      </c>
      <c r="L336" s="674"/>
      <c r="M336" s="699">
        <f>M332*0.03</f>
        <v>7912.893328180103</v>
      </c>
      <c r="N336" s="674"/>
    </row>
    <row r="337" spans="2:14" ht="16.5" hidden="1" thickBot="1">
      <c r="B337" s="671">
        <v>709</v>
      </c>
      <c r="C337" s="758">
        <f>C286</f>
        <v>0.0015</v>
      </c>
      <c r="D337" s="678" t="s">
        <v>18</v>
      </c>
      <c r="E337" s="699">
        <f>E332*0.0015</f>
        <v>588.2178289138091</v>
      </c>
      <c r="F337" s="674"/>
      <c r="G337" s="699">
        <f>G332*0.0015</f>
        <v>574.2093393899853</v>
      </c>
      <c r="H337" s="674"/>
      <c r="I337" s="699">
        <f>I332*0.0015</f>
        <v>550.8690057525206</v>
      </c>
      <c r="J337" s="674"/>
      <c r="K337" s="699">
        <f>K332*0.0015</f>
        <v>466.8381196844611</v>
      </c>
      <c r="L337" s="674"/>
      <c r="M337" s="699">
        <f>M332*0.0015</f>
        <v>395.64466640900514</v>
      </c>
      <c r="N337" s="674"/>
    </row>
    <row r="338" spans="2:14" ht="15.75" hidden="1" thickBot="1">
      <c r="B338" s="671">
        <v>713</v>
      </c>
      <c r="C338" s="703">
        <v>0.007</v>
      </c>
      <c r="D338" s="678" t="s">
        <v>20</v>
      </c>
      <c r="E338" s="699">
        <f>E332*0.007</f>
        <v>2745.0165349311087</v>
      </c>
      <c r="F338" s="674"/>
      <c r="G338" s="699">
        <f>G332*0.007</f>
        <v>2679.6435838199313</v>
      </c>
      <c r="H338" s="674"/>
      <c r="I338" s="699">
        <f>I332*0.007</f>
        <v>2570.722026845096</v>
      </c>
      <c r="J338" s="674"/>
      <c r="K338" s="699">
        <f>K332*0.007</f>
        <v>2178.5778918608185</v>
      </c>
      <c r="L338" s="674"/>
      <c r="M338" s="699">
        <f>M332*0.007</f>
        <v>1846.3417765753575</v>
      </c>
      <c r="N338" s="674"/>
    </row>
    <row r="339" spans="2:14" ht="15.75" hidden="1" thickBot="1">
      <c r="B339" s="671">
        <v>787</v>
      </c>
      <c r="C339" s="701">
        <v>0.01</v>
      </c>
      <c r="D339" s="678" t="s">
        <v>387</v>
      </c>
      <c r="E339" s="699">
        <f>E332*0.01</f>
        <v>3921.452192758727</v>
      </c>
      <c r="F339" s="674"/>
      <c r="G339" s="699">
        <f>G332*0.01</f>
        <v>3828.062262599902</v>
      </c>
      <c r="H339" s="674"/>
      <c r="I339" s="699">
        <f>I332*0.01</f>
        <v>3672.4600383501374</v>
      </c>
      <c r="J339" s="674"/>
      <c r="K339" s="699">
        <f>K332*0.01</f>
        <v>3112.2541312297403</v>
      </c>
      <c r="L339" s="674"/>
      <c r="M339" s="699">
        <f>M332*0.01</f>
        <v>2637.6311093933678</v>
      </c>
      <c r="N339" s="674"/>
    </row>
    <row r="340" spans="2:14" ht="16.5" hidden="1" thickBot="1">
      <c r="B340" s="671"/>
      <c r="C340" s="726"/>
      <c r="D340" s="705" t="s">
        <v>481</v>
      </c>
      <c r="E340" s="694">
        <f>SUM(E335:E339)</f>
        <v>19999.406183069506</v>
      </c>
      <c r="F340" s="696"/>
      <c r="G340" s="694">
        <f>SUM(G335:G339)</f>
        <v>19523.1175392595</v>
      </c>
      <c r="H340" s="696"/>
      <c r="I340" s="694">
        <f>SUM(I335:I339)</f>
        <v>18729.5461955857</v>
      </c>
      <c r="J340" s="696"/>
      <c r="K340" s="694">
        <f>SUM(K335:K339)</f>
        <v>15872.496069271674</v>
      </c>
      <c r="L340" s="696"/>
      <c r="M340" s="694">
        <f>SUM(M335:M339)</f>
        <v>13451.918657906173</v>
      </c>
      <c r="N340" s="696"/>
    </row>
    <row r="341" spans="2:14" ht="16.5" hidden="1" thickBot="1">
      <c r="B341" s="671"/>
      <c r="C341" s="671"/>
      <c r="D341" s="678"/>
      <c r="E341" s="707"/>
      <c r="F341" s="674"/>
      <c r="G341" s="707"/>
      <c r="H341" s="674"/>
      <c r="I341" s="707"/>
      <c r="J341" s="674"/>
      <c r="K341" s="707"/>
      <c r="L341" s="674"/>
      <c r="M341" s="707"/>
      <c r="N341" s="674"/>
    </row>
    <row r="342" spans="2:14" ht="21" hidden="1" thickBot="1">
      <c r="B342" s="671"/>
      <c r="C342" s="671"/>
      <c r="D342" s="709" t="s">
        <v>23</v>
      </c>
      <c r="E342" s="735">
        <f>E332-E340</f>
        <v>372145.8130928032</v>
      </c>
      <c r="F342" s="710"/>
      <c r="G342" s="735">
        <f>G332-G340</f>
        <v>363283.1087207307</v>
      </c>
      <c r="H342" s="710"/>
      <c r="I342" s="735">
        <f>I332-I340</f>
        <v>348516.45763942803</v>
      </c>
      <c r="J342" s="710"/>
      <c r="K342" s="735">
        <f>K332-K340</f>
        <v>295352.91705370235</v>
      </c>
      <c r="L342" s="710"/>
      <c r="M342" s="735">
        <f>M332-M340</f>
        <v>250311.1922814306</v>
      </c>
      <c r="N342" s="710"/>
    </row>
    <row r="343" spans="2:34" ht="15.75" hidden="1">
      <c r="B343" s="411"/>
      <c r="C343" s="339"/>
      <c r="D343" s="535"/>
      <c r="E343" s="558"/>
      <c r="F343" s="558"/>
      <c r="G343" s="558"/>
      <c r="H343" s="558"/>
      <c r="I343" s="558"/>
      <c r="J343" s="558"/>
      <c r="K343" s="558"/>
      <c r="L343" s="558"/>
      <c r="M343" s="558"/>
      <c r="N343" s="558"/>
      <c r="O343" s="558"/>
      <c r="P343" s="558"/>
      <c r="Q343" s="558"/>
      <c r="R343" s="558"/>
      <c r="S343" s="558"/>
      <c r="T343" s="558"/>
      <c r="U343" s="558"/>
      <c r="V343" s="558"/>
      <c r="W343" s="558"/>
      <c r="X343" s="558"/>
      <c r="Y343" s="558"/>
      <c r="Z343" s="558"/>
      <c r="AA343" s="558"/>
      <c r="AB343" s="610"/>
      <c r="AC343" s="558"/>
      <c r="AD343" s="610"/>
      <c r="AE343" s="558"/>
      <c r="AF343" s="610"/>
      <c r="AG343" s="558"/>
      <c r="AH343" s="610"/>
    </row>
    <row r="344" spans="2:34" ht="15" hidden="1">
      <c r="B344" s="411"/>
      <c r="C344" s="411"/>
      <c r="D344" s="543"/>
      <c r="E344" s="557"/>
      <c r="F344" s="557"/>
      <c r="G344" s="557"/>
      <c r="H344" s="557"/>
      <c r="I344" s="557"/>
      <c r="J344" s="557"/>
      <c r="K344" s="557"/>
      <c r="L344" s="557"/>
      <c r="M344" s="557"/>
      <c r="N344" s="557"/>
      <c r="O344" s="557"/>
      <c r="P344" s="557"/>
      <c r="Q344" s="557"/>
      <c r="R344" s="557"/>
      <c r="S344" s="557"/>
      <c r="T344" s="557"/>
      <c r="U344" s="557"/>
      <c r="V344" s="557"/>
      <c r="W344" s="557"/>
      <c r="X344" s="557"/>
      <c r="Y344" s="557"/>
      <c r="Z344" s="557"/>
      <c r="AA344" s="557"/>
      <c r="AB344" s="626"/>
      <c r="AC344" s="557"/>
      <c r="AD344" s="626"/>
      <c r="AE344" s="557"/>
      <c r="AF344" s="626"/>
      <c r="AG344" s="557"/>
      <c r="AH344" s="626"/>
    </row>
    <row r="345" spans="1:32" ht="15.75" thickBot="1">
      <c r="A345" s="462"/>
      <c r="B345" s="463"/>
      <c r="C345" s="463"/>
      <c r="D345" s="536"/>
      <c r="E345" s="559"/>
      <c r="F345" s="559"/>
      <c r="G345" s="559"/>
      <c r="H345" s="559"/>
      <c r="I345" s="559"/>
      <c r="J345" s="559"/>
      <c r="K345" s="559"/>
      <c r="L345" s="559"/>
      <c r="M345" s="559"/>
      <c r="N345" s="559"/>
      <c r="O345" s="559"/>
      <c r="P345" s="559"/>
      <c r="Q345" s="559"/>
      <c r="R345" s="559"/>
      <c r="S345" s="559"/>
      <c r="T345" s="559"/>
      <c r="U345" s="559"/>
      <c r="V345" s="559"/>
      <c r="W345" s="559"/>
      <c r="X345" s="559"/>
      <c r="Y345" s="559"/>
      <c r="Z345" s="554"/>
      <c r="AA345" s="559"/>
      <c r="AB345" s="554"/>
      <c r="AC345" s="559"/>
      <c r="AD345" s="554"/>
      <c r="AE345" s="559"/>
      <c r="AF345" s="554"/>
    </row>
    <row r="346" spans="2:27" ht="24" customHeight="1">
      <c r="B346" s="282" t="s">
        <v>26</v>
      </c>
      <c r="C346" s="428"/>
      <c r="D346" s="529"/>
      <c r="E346" s="554"/>
      <c r="F346" s="554"/>
      <c r="G346" s="449">
        <v>0</v>
      </c>
      <c r="H346" s="805" t="s">
        <v>506</v>
      </c>
      <c r="I346" s="806" t="str">
        <f>numhorasmed&amp;" horas"</f>
        <v>36 horas</v>
      </c>
      <c r="J346" s="814">
        <f>porcantighorasmed</f>
        <v>1.2</v>
      </c>
      <c r="W346" s="554"/>
      <c r="X346" s="554"/>
      <c r="Y346" s="554"/>
      <c r="AA346" s="554"/>
    </row>
    <row r="347" spans="2:27" ht="18.75" customHeight="1">
      <c r="B347" s="439"/>
      <c r="C347" s="428"/>
      <c r="D347" s="529"/>
      <c r="E347" s="554"/>
      <c r="F347" s="554"/>
      <c r="G347" s="886">
        <v>45261</v>
      </c>
      <c r="H347" s="832">
        <f>M356</f>
        <v>592707.2640449989</v>
      </c>
      <c r="I347" s="833">
        <f aca="true" t="shared" si="48" ref="I347:I352">H347-$H$347</f>
        <v>0</v>
      </c>
      <c r="J347" s="893">
        <f>I347/H$347</f>
        <v>0</v>
      </c>
      <c r="AA347" s="554"/>
    </row>
    <row r="348" spans="2:27" ht="18.75" customHeight="1">
      <c r="B348" s="439"/>
      <c r="C348" s="428"/>
      <c r="D348" s="529"/>
      <c r="E348" s="554"/>
      <c r="F348" s="554"/>
      <c r="G348" s="886">
        <v>45292</v>
      </c>
      <c r="H348" s="832">
        <f>K356</f>
        <v>699377.746932294</v>
      </c>
      <c r="I348" s="833">
        <f t="shared" si="48"/>
        <v>106670.48288729507</v>
      </c>
      <c r="J348" s="893">
        <f>I348/H$347</f>
        <v>0.17997161391157937</v>
      </c>
      <c r="AA348" s="554"/>
    </row>
    <row r="349" spans="2:27" ht="18.75" customHeight="1" thickBot="1">
      <c r="B349" s="339"/>
      <c r="C349" s="339"/>
      <c r="D349" s="503"/>
      <c r="E349" s="377"/>
      <c r="F349" s="377"/>
      <c r="G349" s="978" t="s">
        <v>525</v>
      </c>
      <c r="H349" s="832">
        <f>K357</f>
        <v>724377.746932294</v>
      </c>
      <c r="I349" s="833">
        <f t="shared" si="48"/>
        <v>131670.48288729507</v>
      </c>
      <c r="J349" s="893">
        <f>I349/H$347</f>
        <v>0.222150951869047</v>
      </c>
      <c r="AA349" s="554"/>
    </row>
    <row r="350" spans="2:30" ht="18.75" customHeight="1" thickBot="1">
      <c r="B350" s="81" t="s">
        <v>25</v>
      </c>
      <c r="C350" s="402"/>
      <c r="D350" s="530">
        <v>36</v>
      </c>
      <c r="E350" s="555"/>
      <c r="F350" s="555"/>
      <c r="G350" s="886">
        <v>45323</v>
      </c>
      <c r="H350" s="832">
        <f>I356</f>
        <v>825266.1287287711</v>
      </c>
      <c r="I350" s="833">
        <f t="shared" si="48"/>
        <v>232558.8646837722</v>
      </c>
      <c r="J350" s="893">
        <f>I350/$H$347</f>
        <v>0.39236715794007226</v>
      </c>
      <c r="O350" s="912"/>
      <c r="P350" s="878"/>
      <c r="Q350" s="913"/>
      <c r="AD350" s="622"/>
    </row>
    <row r="351" spans="2:30" ht="18.75" customHeight="1" thickBot="1">
      <c r="B351" s="81" t="s">
        <v>9</v>
      </c>
      <c r="C351" s="402"/>
      <c r="D351" s="537">
        <v>1.2</v>
      </c>
      <c r="E351" s="560"/>
      <c r="F351" s="560"/>
      <c r="G351" s="886">
        <v>45352</v>
      </c>
      <c r="H351" s="832">
        <f>G356</f>
        <v>860232.6781534598</v>
      </c>
      <c r="I351" s="833">
        <f t="shared" si="48"/>
        <v>267525.4141084609</v>
      </c>
      <c r="J351" s="893">
        <f>I351/$H$347</f>
        <v>0.45136179415568983</v>
      </c>
      <c r="K351" s="560"/>
      <c r="L351" s="560"/>
      <c r="M351" s="560"/>
      <c r="N351" s="911"/>
      <c r="O351" s="912"/>
      <c r="P351" s="878"/>
      <c r="Q351" s="913"/>
      <c r="AD351" s="627"/>
    </row>
    <row r="352" spans="2:30" ht="18.75" customHeight="1" thickBot="1">
      <c r="B352" s="258" t="s">
        <v>361</v>
      </c>
      <c r="C352" s="422"/>
      <c r="D352" s="532">
        <v>0.82</v>
      </c>
      <c r="E352" s="556"/>
      <c r="F352" s="556"/>
      <c r="G352" s="886">
        <v>45383</v>
      </c>
      <c r="H352" s="832">
        <f>E356</f>
        <v>881219.0101508861</v>
      </c>
      <c r="I352" s="833">
        <f t="shared" si="48"/>
        <v>288511.7461058872</v>
      </c>
      <c r="J352" s="893">
        <f>I352/$H$347</f>
        <v>0.4867693777479723</v>
      </c>
      <c r="K352" s="556">
        <f>1.18*1.18-1</f>
        <v>0.39239999999999986</v>
      </c>
      <c r="L352" s="556"/>
      <c r="M352" s="556"/>
      <c r="N352" s="911"/>
      <c r="O352" s="912"/>
      <c r="P352" s="878"/>
      <c r="Q352" s="913"/>
      <c r="V352" s="556"/>
      <c r="W352" s="556"/>
      <c r="X352" s="624"/>
      <c r="Y352" s="556"/>
      <c r="Z352" s="624"/>
      <c r="AA352" s="556"/>
      <c r="AB352" s="624"/>
      <c r="AC352" s="556"/>
      <c r="AD352" s="624"/>
    </row>
    <row r="353" spans="2:30" ht="15.75">
      <c r="B353" s="639" t="s">
        <v>491</v>
      </c>
      <c r="C353" s="444"/>
      <c r="D353" s="635">
        <v>1</v>
      </c>
      <c r="E353" s="635"/>
      <c r="F353" s="635"/>
      <c r="G353" s="635"/>
      <c r="H353" s="635"/>
      <c r="I353" s="635"/>
      <c r="J353" s="635"/>
      <c r="K353" s="635"/>
      <c r="L353" s="635"/>
      <c r="M353" s="635"/>
      <c r="N353" s="911"/>
      <c r="O353" s="912"/>
      <c r="P353" s="878"/>
      <c r="Q353" s="913"/>
      <c r="V353" s="635"/>
      <c r="W353" s="571" t="s">
        <v>492</v>
      </c>
      <c r="X353" s="655"/>
      <c r="Y353" s="571" t="s">
        <v>492</v>
      </c>
      <c r="Z353" s="655"/>
      <c r="AA353" s="571" t="s">
        <v>492</v>
      </c>
      <c r="AB353" s="655"/>
      <c r="AC353" s="571"/>
      <c r="AD353" s="655"/>
    </row>
    <row r="354" spans="2:30" ht="15.75">
      <c r="B354" s="639"/>
      <c r="C354" s="444"/>
      <c r="D354" s="635"/>
      <c r="E354" s="635"/>
      <c r="F354" s="635"/>
      <c r="G354" s="635"/>
      <c r="H354" s="635"/>
      <c r="I354" s="635"/>
      <c r="J354" s="635"/>
      <c r="K354" s="635"/>
      <c r="L354" s="635"/>
      <c r="M354" s="635"/>
      <c r="N354" s="911"/>
      <c r="O354" s="912"/>
      <c r="P354" s="878"/>
      <c r="Q354" s="913"/>
      <c r="V354" s="635"/>
      <c r="W354" s="571"/>
      <c r="X354" s="655"/>
      <c r="Y354" s="571"/>
      <c r="Z354" s="655"/>
      <c r="AA354" s="571"/>
      <c r="AB354" s="655"/>
      <c r="AC354" s="95"/>
      <c r="AD354" s="655"/>
    </row>
    <row r="355" spans="2:4" ht="15.75" thickBot="1">
      <c r="B355" s="639"/>
      <c r="C355" s="444"/>
      <c r="D355" s="10"/>
    </row>
    <row r="356" spans="2:14" ht="24.75" thickBot="1" thickTop="1">
      <c r="B356" s="411"/>
      <c r="C356" s="459"/>
      <c r="D356" s="545" t="str">
        <f>D406</f>
        <v>Líquido</v>
      </c>
      <c r="E356" s="868">
        <f>E380</f>
        <v>881219.0101508861</v>
      </c>
      <c r="F356" s="869"/>
      <c r="G356" s="868">
        <f>G380</f>
        <v>860232.6781534598</v>
      </c>
      <c r="H356" s="869"/>
      <c r="I356" s="868">
        <f>I380</f>
        <v>825266.1287287711</v>
      </c>
      <c r="J356" s="869"/>
      <c r="K356" s="868">
        <f>K380</f>
        <v>699377.746932294</v>
      </c>
      <c r="L356" s="869"/>
      <c r="M356" s="868">
        <f>M406</f>
        <v>592707.2640449989</v>
      </c>
      <c r="N356" s="869"/>
    </row>
    <row r="357" spans="2:14" ht="24.75" thickBot="1" thickTop="1">
      <c r="B357" s="411"/>
      <c r="C357" s="459"/>
      <c r="D357" s="965"/>
      <c r="E357" s="868"/>
      <c r="F357" s="981" t="s">
        <v>521</v>
      </c>
      <c r="G357" s="868"/>
      <c r="H357" s="981" t="s">
        <v>521</v>
      </c>
      <c r="I357" s="868"/>
      <c r="J357" s="981" t="s">
        <v>521</v>
      </c>
      <c r="K357" s="868">
        <f>K381</f>
        <v>724377.746932294</v>
      </c>
      <c r="L357" s="977"/>
      <c r="M357" s="976"/>
      <c r="N357" s="977"/>
    </row>
    <row r="358" spans="2:14" ht="17.25" thickBot="1" thickTop="1">
      <c r="B358" s="440" t="str">
        <f>B408</f>
        <v>Puntos básicos</v>
      </c>
      <c r="C358" s="441"/>
      <c r="D358" s="538">
        <f>D408</f>
        <v>3128.4</v>
      </c>
      <c r="E358" s="7"/>
      <c r="F358" s="619"/>
      <c r="G358" s="7"/>
      <c r="H358" s="619"/>
      <c r="I358" s="7"/>
      <c r="J358" s="619"/>
      <c r="K358" s="7"/>
      <c r="L358" s="619"/>
      <c r="M358" s="7"/>
      <c r="N358" s="619"/>
    </row>
    <row r="359" spans="2:14" ht="15">
      <c r="B359" s="339"/>
      <c r="C359" s="458"/>
      <c r="D359" s="634"/>
      <c r="E359" s="377"/>
      <c r="F359" s="659"/>
      <c r="G359" s="377"/>
      <c r="H359" s="659"/>
      <c r="I359" s="377"/>
      <c r="J359" s="659"/>
      <c r="K359" s="377"/>
      <c r="L359" s="659"/>
      <c r="M359" s="377"/>
      <c r="N359" s="659"/>
    </row>
    <row r="360" spans="4:14" ht="20.25">
      <c r="D360" s="543"/>
      <c r="E360" s="901">
        <v>45383</v>
      </c>
      <c r="F360" s="902">
        <v>0.4668</v>
      </c>
      <c r="G360" s="901">
        <v>45352</v>
      </c>
      <c r="H360" s="902">
        <v>0.4514</v>
      </c>
      <c r="I360" s="901">
        <v>45323</v>
      </c>
      <c r="J360" s="902">
        <f>1.18*1.18-1</f>
        <v>0.39239999999999986</v>
      </c>
      <c r="K360" s="901">
        <v>45292</v>
      </c>
      <c r="L360" s="902">
        <v>0.18</v>
      </c>
      <c r="M360" s="901">
        <v>45261</v>
      </c>
      <c r="N360" s="902">
        <f>aumento10-1</f>
        <v>1.4117000000000002</v>
      </c>
    </row>
    <row r="361" spans="5:14" ht="13.5" thickBot="1">
      <c r="E361" s="2">
        <f aca="true" t="shared" si="49" ref="E361:E366">E411</f>
        <v>0</v>
      </c>
      <c r="F361" s="336"/>
      <c r="G361" s="2">
        <f aca="true" t="shared" si="50" ref="G361:G366">G411</f>
        <v>0</v>
      </c>
      <c r="H361" s="336"/>
      <c r="I361" s="2">
        <f aca="true" t="shared" si="51" ref="I361:I366">I411</f>
        <v>0</v>
      </c>
      <c r="J361" s="336"/>
      <c r="K361" s="2">
        <f aca="true" t="shared" si="52" ref="K361:M366">K411</f>
        <v>0</v>
      </c>
      <c r="L361" s="336"/>
      <c r="M361" s="2">
        <f t="shared" si="52"/>
        <v>0</v>
      </c>
      <c r="N361" s="336"/>
    </row>
    <row r="362" spans="2:14" ht="15.75" thickBot="1">
      <c r="B362" s="403">
        <f aca="true" t="shared" si="53" ref="B362:B369">B412</f>
        <v>402</v>
      </c>
      <c r="C362" s="429">
        <f aca="true" t="shared" si="54" ref="C362:D367">C412</f>
        <v>0</v>
      </c>
      <c r="D362" s="507" t="str">
        <f t="shared" si="54"/>
        <v>Sueldo básico</v>
      </c>
      <c r="E362" s="561">
        <f t="shared" si="49"/>
        <v>354377.8628279999</v>
      </c>
      <c r="F362" s="646"/>
      <c r="G362" s="561">
        <f t="shared" si="50"/>
        <v>345938.32183679997</v>
      </c>
      <c r="H362" s="646"/>
      <c r="I362" s="561">
        <f t="shared" si="51"/>
        <v>331876.69566479995</v>
      </c>
      <c r="J362" s="646"/>
      <c r="K362" s="561">
        <f t="shared" si="52"/>
        <v>281251.35265392</v>
      </c>
      <c r="L362" s="646"/>
      <c r="M362" s="561">
        <f t="shared" si="52"/>
        <v>238348.60394399997</v>
      </c>
      <c r="N362" s="646"/>
    </row>
    <row r="363" spans="2:14" ht="15.75" thickBot="1">
      <c r="B363" s="406">
        <f t="shared" si="53"/>
        <v>406</v>
      </c>
      <c r="C363" s="430">
        <f t="shared" si="54"/>
        <v>0</v>
      </c>
      <c r="D363" s="508" t="str">
        <f t="shared" si="54"/>
        <v>Antigüedad</v>
      </c>
      <c r="E363" s="562">
        <f t="shared" si="49"/>
        <v>425253.4353935999</v>
      </c>
      <c r="F363" s="646"/>
      <c r="G363" s="562">
        <f t="shared" si="50"/>
        <v>415125.98620415997</v>
      </c>
      <c r="H363" s="646"/>
      <c r="I363" s="562">
        <f t="shared" si="51"/>
        <v>398252.0347977599</v>
      </c>
      <c r="J363" s="646"/>
      <c r="K363" s="562">
        <f t="shared" si="52"/>
        <v>337501.623184704</v>
      </c>
      <c r="L363" s="647"/>
      <c r="M363" s="562">
        <f t="shared" si="52"/>
        <v>286018.32473279996</v>
      </c>
      <c r="N363" s="647"/>
    </row>
    <row r="364" spans="2:14" ht="15.75" thickBot="1">
      <c r="B364" s="406">
        <f t="shared" si="53"/>
        <v>432</v>
      </c>
      <c r="C364" s="430">
        <f t="shared" si="54"/>
        <v>0</v>
      </c>
      <c r="D364" s="508" t="str">
        <f t="shared" si="54"/>
        <v>Dto. 1109/05(cod06act)</v>
      </c>
      <c r="E364" s="562">
        <f t="shared" si="49"/>
        <v>30938.598010679994</v>
      </c>
      <c r="F364" s="646"/>
      <c r="G364" s="562">
        <f t="shared" si="50"/>
        <v>30201.785360921993</v>
      </c>
      <c r="H364" s="646"/>
      <c r="I364" s="562">
        <f t="shared" si="51"/>
        <v>28974.150599999994</v>
      </c>
      <c r="J364" s="646"/>
      <c r="K364" s="562">
        <f t="shared" si="52"/>
        <v>24554.379716489315</v>
      </c>
      <c r="L364" s="647"/>
      <c r="M364" s="562">
        <f t="shared" si="52"/>
        <v>20813.583571800005</v>
      </c>
      <c r="N364" s="647"/>
    </row>
    <row r="365" spans="2:14" ht="15.75" thickBot="1">
      <c r="B365" s="406">
        <f t="shared" si="53"/>
        <v>434</v>
      </c>
      <c r="C365" s="430">
        <f t="shared" si="54"/>
        <v>0</v>
      </c>
      <c r="D365" s="508" t="str">
        <f t="shared" si="54"/>
        <v>Traslado cod 188</v>
      </c>
      <c r="E365" s="562">
        <f t="shared" si="49"/>
        <v>55136.81782733626</v>
      </c>
      <c r="F365" s="646"/>
      <c r="G365" s="562">
        <f t="shared" si="50"/>
        <v>53823.72874443394</v>
      </c>
      <c r="H365" s="646"/>
      <c r="I365" s="562">
        <f t="shared" si="51"/>
        <v>51635.91354036023</v>
      </c>
      <c r="J365" s="646"/>
      <c r="K365" s="562">
        <f t="shared" si="52"/>
        <v>43759.22743377443</v>
      </c>
      <c r="L365" s="647"/>
      <c r="M365" s="562">
        <f t="shared" si="52"/>
        <v>37084.60031973393</v>
      </c>
      <c r="N365" s="647"/>
    </row>
    <row r="366" spans="2:14" ht="15.75" thickBot="1">
      <c r="B366" s="406">
        <f t="shared" si="53"/>
        <v>437</v>
      </c>
      <c r="C366" s="431">
        <f t="shared" si="54"/>
        <v>0</v>
      </c>
      <c r="D366" s="512" t="str">
        <f t="shared" si="54"/>
        <v>DTO. N1462/18 DOCENT</v>
      </c>
      <c r="E366" s="586">
        <f t="shared" si="49"/>
        <v>18555.18387804</v>
      </c>
      <c r="F366" s="646"/>
      <c r="G366" s="586">
        <f t="shared" si="50"/>
        <v>18113.286213666</v>
      </c>
      <c r="H366" s="646"/>
      <c r="I366" s="586">
        <f t="shared" si="51"/>
        <v>17377.0218</v>
      </c>
      <c r="J366" s="646"/>
      <c r="K366" s="586">
        <f t="shared" si="52"/>
        <v>14726.139689614858</v>
      </c>
      <c r="L366" s="609"/>
      <c r="M366" s="586">
        <f t="shared" si="52"/>
        <v>12482.650454166002</v>
      </c>
      <c r="N366" s="609"/>
    </row>
    <row r="367" spans="2:14" ht="16.5" thickBot="1">
      <c r="B367" s="406">
        <f t="shared" si="53"/>
        <v>0</v>
      </c>
      <c r="C367" s="431">
        <f t="shared" si="54"/>
        <v>0</v>
      </c>
      <c r="D367" s="513" t="str">
        <f t="shared" si="54"/>
        <v>Otros</v>
      </c>
      <c r="E367" s="565">
        <v>0</v>
      </c>
      <c r="F367" s="646"/>
      <c r="G367" s="565">
        <v>0</v>
      </c>
      <c r="H367" s="646"/>
      <c r="I367" s="565">
        <v>0</v>
      </c>
      <c r="J367" s="646"/>
      <c r="K367" s="565">
        <v>0</v>
      </c>
      <c r="L367" s="654"/>
      <c r="M367" s="565">
        <v>0</v>
      </c>
      <c r="N367" s="654"/>
    </row>
    <row r="368" spans="2:14" ht="20.25">
      <c r="B368" s="637">
        <f t="shared" si="53"/>
        <v>1584</v>
      </c>
      <c r="C368" s="643">
        <v>15</v>
      </c>
      <c r="D368" s="638" t="str">
        <f>D418</f>
        <v>Adic Dec 173/21 (cod 38 activos)</v>
      </c>
      <c r="E368" s="484">
        <f>E418</f>
        <v>44314.50896528</v>
      </c>
      <c r="F368" s="646"/>
      <c r="G368" s="484">
        <f aca="true" t="shared" si="55" ref="G368:G376">G418</f>
        <v>43259.144699512</v>
      </c>
      <c r="H368" s="646">
        <f>G368/I368-1</f>
        <v>0.04237000000000002</v>
      </c>
      <c r="I368" s="484">
        <f aca="true" t="shared" si="56" ref="I368:K376">I418</f>
        <v>41500.7576</v>
      </c>
      <c r="J368" s="646">
        <f>I368/K368-1</f>
        <v>0.18000012859766157</v>
      </c>
      <c r="K368" s="484">
        <f t="shared" si="56"/>
        <v>35170.129726443694</v>
      </c>
      <c r="L368" s="657"/>
      <c r="M368" s="484">
        <f>M418</f>
        <v>29812.05156654</v>
      </c>
      <c r="N368" s="657"/>
    </row>
    <row r="369" spans="2:14" ht="18">
      <c r="B369" s="404">
        <f t="shared" si="53"/>
        <v>0</v>
      </c>
      <c r="C369" s="16">
        <f>C419</f>
        <v>0</v>
      </c>
      <c r="D369" s="594" t="str">
        <f>D419</f>
        <v>Haberes</v>
      </c>
      <c r="E369" s="591">
        <f>E419</f>
        <v>928576.4069029359</v>
      </c>
      <c r="F369" s="660"/>
      <c r="G369" s="591">
        <f t="shared" si="55"/>
        <v>906462.253059494</v>
      </c>
      <c r="H369" s="660"/>
      <c r="I369" s="591">
        <f t="shared" si="56"/>
        <v>869616.5740029201</v>
      </c>
      <c r="J369" s="660"/>
      <c r="K369" s="591">
        <f t="shared" si="56"/>
        <v>736962.8524049462</v>
      </c>
      <c r="L369" s="660"/>
      <c r="M369" s="591">
        <f>M419</f>
        <v>624559.8145890399</v>
      </c>
      <c r="N369" s="660"/>
    </row>
    <row r="370" spans="2:14" ht="18">
      <c r="B370" s="430"/>
      <c r="C370" s="956">
        <v>1</v>
      </c>
      <c r="D370" s="925" t="s">
        <v>516</v>
      </c>
      <c r="E370" s="955">
        <f>E420</f>
        <v>0</v>
      </c>
      <c r="F370" s="660"/>
      <c r="G370" s="955">
        <f t="shared" si="55"/>
        <v>0</v>
      </c>
      <c r="H370" s="660"/>
      <c r="I370" s="955">
        <f t="shared" si="56"/>
        <v>0</v>
      </c>
      <c r="J370" s="660"/>
      <c r="K370" s="955">
        <f t="shared" si="56"/>
        <v>25000</v>
      </c>
      <c r="L370" s="660"/>
      <c r="M370" s="591"/>
      <c r="N370" s="660"/>
    </row>
    <row r="371" spans="2:14" ht="18">
      <c r="B371" s="430"/>
      <c r="C371" s="924"/>
      <c r="D371" s="925" t="s">
        <v>518</v>
      </c>
      <c r="E371" s="591">
        <f>E421</f>
        <v>928576.4069029359</v>
      </c>
      <c r="F371" s="660"/>
      <c r="G371" s="591">
        <f t="shared" si="55"/>
        <v>906462.253059494</v>
      </c>
      <c r="H371" s="660"/>
      <c r="I371" s="591">
        <f t="shared" si="56"/>
        <v>869616.5740029201</v>
      </c>
      <c r="J371" s="660"/>
      <c r="K371" s="591">
        <f t="shared" si="56"/>
        <v>761962.8524049462</v>
      </c>
      <c r="L371" s="660"/>
      <c r="M371" s="591"/>
      <c r="N371" s="660"/>
    </row>
    <row r="372" spans="2:14" ht="15">
      <c r="B372" s="406">
        <f aca="true" t="shared" si="57" ref="B372:E373">B422</f>
        <v>703</v>
      </c>
      <c r="C372" s="432">
        <f t="shared" si="57"/>
        <v>0.0025</v>
      </c>
      <c r="D372" s="515" t="str">
        <f t="shared" si="57"/>
        <v>Federació de  jubil</v>
      </c>
      <c r="E372" s="567">
        <f t="shared" si="57"/>
        <v>2321.44101725734</v>
      </c>
      <c r="F372" s="661"/>
      <c r="G372" s="567">
        <f t="shared" si="55"/>
        <v>2266.155632648735</v>
      </c>
      <c r="H372" s="661"/>
      <c r="I372" s="567">
        <f t="shared" si="56"/>
        <v>2174.0414350073</v>
      </c>
      <c r="J372" s="661"/>
      <c r="K372" s="567">
        <f t="shared" si="56"/>
        <v>1842.4071310123657</v>
      </c>
      <c r="L372" s="661"/>
      <c r="M372" s="567">
        <f>M422</f>
        <v>1561.3995364725997</v>
      </c>
      <c r="N372" s="661"/>
    </row>
    <row r="373" spans="2:14" ht="15">
      <c r="B373" s="407">
        <f t="shared" si="57"/>
        <v>707</v>
      </c>
      <c r="C373" s="433">
        <f t="shared" si="57"/>
        <v>0.03</v>
      </c>
      <c r="D373" s="508" t="str">
        <f t="shared" si="57"/>
        <v>Aporte IOSPER</v>
      </c>
      <c r="E373" s="568">
        <f t="shared" si="57"/>
        <v>27857.292207088078</v>
      </c>
      <c r="F373" s="647"/>
      <c r="G373" s="568">
        <f t="shared" si="55"/>
        <v>27193.86759178482</v>
      </c>
      <c r="H373" s="647"/>
      <c r="I373" s="568">
        <f t="shared" si="56"/>
        <v>26088.4972200876</v>
      </c>
      <c r="J373" s="647"/>
      <c r="K373" s="568">
        <f t="shared" si="56"/>
        <v>22108.885572148385</v>
      </c>
      <c r="L373" s="647"/>
      <c r="M373" s="568">
        <f>M423</f>
        <v>18736.794437671197</v>
      </c>
      <c r="N373" s="647"/>
    </row>
    <row r="374" spans="2:14" ht="15.75">
      <c r="B374" s="407">
        <f>B424</f>
        <v>709</v>
      </c>
      <c r="C374" s="434">
        <v>0.0015</v>
      </c>
      <c r="D374" s="508" t="str">
        <f aca="true" t="shared" si="58" ref="D374:E376">D424</f>
        <v>Seguro ley 3011</v>
      </c>
      <c r="E374" s="568">
        <f t="shared" si="58"/>
        <v>1392.864610354404</v>
      </c>
      <c r="F374" s="647"/>
      <c r="G374" s="568">
        <f t="shared" si="55"/>
        <v>1359.693379589241</v>
      </c>
      <c r="H374" s="647"/>
      <c r="I374" s="568">
        <f t="shared" si="56"/>
        <v>1304.42486100438</v>
      </c>
      <c r="J374" s="647"/>
      <c r="K374" s="568">
        <f t="shared" si="56"/>
        <v>1105.4442786074194</v>
      </c>
      <c r="L374" s="647"/>
      <c r="M374" s="568">
        <f>M424</f>
        <v>936.8397218835598</v>
      </c>
      <c r="N374" s="647"/>
    </row>
    <row r="375" spans="2:14" ht="15">
      <c r="B375" s="407">
        <f>B425</f>
        <v>713</v>
      </c>
      <c r="C375" s="435">
        <f>C425</f>
        <v>0.007</v>
      </c>
      <c r="D375" s="508" t="str">
        <f t="shared" si="58"/>
        <v>Serv Sepelio IAPS</v>
      </c>
      <c r="E375" s="568">
        <f t="shared" si="58"/>
        <v>6500.034848320552</v>
      </c>
      <c r="F375" s="647"/>
      <c r="G375" s="568">
        <f t="shared" si="55"/>
        <v>6345.235771416458</v>
      </c>
      <c r="H375" s="647"/>
      <c r="I375" s="568">
        <f t="shared" si="56"/>
        <v>6087.31601802044</v>
      </c>
      <c r="J375" s="647"/>
      <c r="K375" s="568">
        <f t="shared" si="56"/>
        <v>5158.739966834623</v>
      </c>
      <c r="L375" s="647"/>
      <c r="M375" s="568">
        <f>M425</f>
        <v>4371.918702123279</v>
      </c>
      <c r="N375" s="647"/>
    </row>
    <row r="376" spans="2:14" ht="15">
      <c r="B376" s="407">
        <f>B426</f>
        <v>787</v>
      </c>
      <c r="C376" s="433">
        <f>C426</f>
        <v>0.01</v>
      </c>
      <c r="D376" s="508" t="str">
        <f t="shared" si="58"/>
        <v>Desc AGMER 1 %</v>
      </c>
      <c r="E376" s="568">
        <f t="shared" si="58"/>
        <v>9285.76406902936</v>
      </c>
      <c r="F376" s="647"/>
      <c r="G376" s="568">
        <f t="shared" si="55"/>
        <v>9064.62253059494</v>
      </c>
      <c r="H376" s="647"/>
      <c r="I376" s="568">
        <f t="shared" si="56"/>
        <v>8696.1657400292</v>
      </c>
      <c r="J376" s="647"/>
      <c r="K376" s="568">
        <f t="shared" si="56"/>
        <v>7369.628524049463</v>
      </c>
      <c r="L376" s="647"/>
      <c r="M376" s="568">
        <f>M426</f>
        <v>6245.598145890399</v>
      </c>
      <c r="N376" s="647"/>
    </row>
    <row r="377" spans="2:14" ht="16.5" thickBot="1">
      <c r="B377" s="645"/>
      <c r="C377" s="765"/>
      <c r="D377" s="762" t="str">
        <f>D427</f>
        <v>Otros descuentos</v>
      </c>
      <c r="E377" s="587">
        <v>0</v>
      </c>
      <c r="F377" s="654"/>
      <c r="G377" s="587">
        <v>0</v>
      </c>
      <c r="H377" s="654"/>
      <c r="I377" s="587">
        <v>0</v>
      </c>
      <c r="J377" s="654"/>
      <c r="K377" s="587">
        <v>0</v>
      </c>
      <c r="L377" s="654"/>
      <c r="M377" s="587">
        <v>0</v>
      </c>
      <c r="N377" s="654"/>
    </row>
    <row r="378" spans="2:14" ht="16.5" thickBot="1">
      <c r="B378" s="377"/>
      <c r="C378" s="766"/>
      <c r="D378" s="763" t="str">
        <f>D428</f>
        <v>Descuentos</v>
      </c>
      <c r="E378" s="588">
        <f>E428</f>
        <v>47357.39675204974</v>
      </c>
      <c r="F378" s="613"/>
      <c r="G378" s="588">
        <f>G428</f>
        <v>46229.57490603419</v>
      </c>
      <c r="H378" s="613"/>
      <c r="I378" s="588">
        <f>I428</f>
        <v>44350.44527414892</v>
      </c>
      <c r="J378" s="613"/>
      <c r="K378" s="588">
        <f>K428</f>
        <v>37585.105472652256</v>
      </c>
      <c r="L378" s="613"/>
      <c r="M378" s="588">
        <f>M428</f>
        <v>31852.550544041034</v>
      </c>
      <c r="N378" s="613"/>
    </row>
    <row r="379" spans="2:14" ht="16.5" thickBot="1">
      <c r="B379" s="95"/>
      <c r="C379" s="767"/>
      <c r="D379" s="784"/>
      <c r="E379" s="570"/>
      <c r="F379" s="584"/>
      <c r="G379" s="570"/>
      <c r="H379" s="584"/>
      <c r="I379" s="570"/>
      <c r="J379" s="584"/>
      <c r="K379" s="570"/>
      <c r="L379" s="584"/>
      <c r="M379" s="570"/>
      <c r="N379" s="584"/>
    </row>
    <row r="380" spans="2:14" ht="24" thickBot="1">
      <c r="B380" s="450"/>
      <c r="C380" s="761"/>
      <c r="D380" s="764" t="str">
        <f>D430</f>
        <v>Líquido</v>
      </c>
      <c r="E380" s="882">
        <f>E430</f>
        <v>881219.0101508861</v>
      </c>
      <c r="F380" s="881"/>
      <c r="G380" s="882">
        <f>G430</f>
        <v>860232.6781534598</v>
      </c>
      <c r="H380" s="881"/>
      <c r="I380" s="882">
        <f>I430</f>
        <v>825266.1287287711</v>
      </c>
      <c r="J380" s="881"/>
      <c r="K380" s="882">
        <f>K430</f>
        <v>699377.746932294</v>
      </c>
      <c r="L380" s="881"/>
      <c r="M380" s="882">
        <f>M430</f>
        <v>592707.2640449989</v>
      </c>
      <c r="N380" s="881"/>
    </row>
    <row r="381" spans="2:14" ht="24" thickBot="1">
      <c r="B381" s="450"/>
      <c r="C381" s="450"/>
      <c r="D381" s="920"/>
      <c r="E381" s="882"/>
      <c r="F381" s="534" t="s">
        <v>515</v>
      </c>
      <c r="G381" s="882"/>
      <c r="H381" s="534" t="s">
        <v>515</v>
      </c>
      <c r="I381" s="882"/>
      <c r="J381" s="534" t="s">
        <v>515</v>
      </c>
      <c r="K381" s="882">
        <f>K431</f>
        <v>724377.746932294</v>
      </c>
      <c r="L381" s="922"/>
      <c r="M381" s="921"/>
      <c r="N381" s="922"/>
    </row>
    <row r="382" spans="2:14" ht="16.5" thickBot="1">
      <c r="B382" s="450"/>
      <c r="C382" s="450"/>
      <c r="D382" s="517"/>
      <c r="E382" s="551"/>
      <c r="F382" s="614"/>
      <c r="G382" s="551"/>
      <c r="H382" s="614"/>
      <c r="I382" s="551"/>
      <c r="J382" s="614"/>
      <c r="K382" s="551"/>
      <c r="L382" s="614"/>
      <c r="M382" s="551"/>
      <c r="N382" s="614"/>
    </row>
    <row r="383" spans="2:14" ht="16.5" thickTop="1">
      <c r="B383" s="411"/>
      <c r="C383" s="411"/>
      <c r="D383" s="518" t="str">
        <f>D433</f>
        <v>Aumento mensual</v>
      </c>
      <c r="E383" s="572">
        <f>E433</f>
        <v>20986.331997426343</v>
      </c>
      <c r="F383" s="615"/>
      <c r="G383" s="572">
        <f>G433</f>
        <v>34966.54942468868</v>
      </c>
      <c r="H383" s="615"/>
      <c r="I383" s="572">
        <f>I433</f>
        <v>125888.38179647713</v>
      </c>
      <c r="J383" s="615"/>
      <c r="K383" s="572">
        <f>K433</f>
        <v>106670.48288729507</v>
      </c>
      <c r="L383" s="615"/>
      <c r="M383" s="572"/>
      <c r="N383" s="615"/>
    </row>
    <row r="384" spans="2:14" ht="16.5" thickBot="1">
      <c r="B384" s="411"/>
      <c r="C384" s="411"/>
      <c r="D384" s="519" t="str">
        <f>D434</f>
        <v>Aum porcentual</v>
      </c>
      <c r="E384" s="573">
        <f>E434</f>
        <v>0.02439611111086217</v>
      </c>
      <c r="F384" s="616"/>
      <c r="G384" s="573">
        <f>G434</f>
        <v>0.042370028536795376</v>
      </c>
      <c r="H384" s="616"/>
      <c r="I384" s="573">
        <f>I434</f>
        <v>0.18000055384756794</v>
      </c>
      <c r="J384" s="616"/>
      <c r="K384" s="573">
        <f>K434</f>
        <v>0.17997161391157937</v>
      </c>
      <c r="L384" s="616"/>
      <c r="M384" s="573"/>
      <c r="N384" s="616"/>
    </row>
    <row r="385" spans="2:14" s="47" customFormat="1" ht="17.25" thickBot="1" thickTop="1">
      <c r="B385" s="339"/>
      <c r="C385" s="339"/>
      <c r="D385" s="606"/>
      <c r="E385" s="668"/>
      <c r="F385" s="918"/>
      <c r="G385" s="668"/>
      <c r="H385" s="918"/>
      <c r="I385" s="668"/>
      <c r="J385" s="918"/>
      <c r="K385" s="668"/>
      <c r="L385" s="918"/>
      <c r="M385" s="668"/>
      <c r="N385" s="918"/>
    </row>
    <row r="386" spans="2:14" ht="17.25" thickBot="1" thickTop="1">
      <c r="B386" s="411"/>
      <c r="C386" s="411"/>
      <c r="D386" s="923" t="s">
        <v>531</v>
      </c>
      <c r="E386" s="959"/>
      <c r="F386" s="554"/>
      <c r="G386" s="959"/>
      <c r="H386" s="554"/>
      <c r="I386" s="959">
        <f>I436</f>
        <v>100888.38179647713</v>
      </c>
      <c r="J386" s="554"/>
      <c r="K386" s="959">
        <f>K436</f>
        <v>131670.48288729507</v>
      </c>
      <c r="L386" s="554"/>
      <c r="M386" s="640"/>
      <c r="N386" s="554"/>
    </row>
    <row r="387" spans="2:14" ht="16.5" thickBot="1">
      <c r="B387" s="411"/>
      <c r="C387" s="411"/>
      <c r="D387" s="923" t="s">
        <v>532</v>
      </c>
      <c r="E387" s="960"/>
      <c r="F387" s="554"/>
      <c r="G387" s="960"/>
      <c r="H387" s="554"/>
      <c r="I387" s="960">
        <f>I437</f>
        <v>0.13927592643994757</v>
      </c>
      <c r="J387" s="554"/>
      <c r="K387" s="960">
        <f>K437</f>
        <v>0.222150951869047</v>
      </c>
      <c r="L387" s="554"/>
      <c r="M387" s="640"/>
      <c r="N387" s="554"/>
    </row>
    <row r="388" spans="2:14" ht="15.75" thickBot="1">
      <c r="B388" s="411"/>
      <c r="C388" s="411"/>
      <c r="D388" s="663"/>
      <c r="E388" s="640"/>
      <c r="F388" s="554"/>
      <c r="G388" s="640"/>
      <c r="H388" s="554"/>
      <c r="I388" s="640"/>
      <c r="J388" s="554"/>
      <c r="K388" s="640"/>
      <c r="L388" s="554"/>
      <c r="M388" s="640"/>
      <c r="N388" s="554"/>
    </row>
    <row r="389" spans="2:14" ht="16.5" thickTop="1">
      <c r="B389" s="411"/>
      <c r="C389" s="411"/>
      <c r="D389" s="664" t="str">
        <f aca="true" t="shared" si="59" ref="D389:E391">D439</f>
        <v>Aumento acumulado anual</v>
      </c>
      <c r="E389" s="665">
        <f t="shared" si="59"/>
        <v>288511.7461058872</v>
      </c>
      <c r="F389" s="615"/>
      <c r="G389" s="665">
        <f>G439</f>
        <v>267525.4141084609</v>
      </c>
      <c r="H389" s="615"/>
      <c r="I389" s="665">
        <f>I439</f>
        <v>232558.8646837722</v>
      </c>
      <c r="J389" s="615"/>
      <c r="K389" s="665">
        <f>K439</f>
        <v>106670.48288729507</v>
      </c>
      <c r="L389" s="615"/>
      <c r="M389" s="665"/>
      <c r="N389" s="615"/>
    </row>
    <row r="390" spans="2:14" ht="16.5" thickBot="1">
      <c r="B390" s="459"/>
      <c r="C390" s="411"/>
      <c r="D390" s="666" t="str">
        <f t="shared" si="59"/>
        <v>Porc Aum acumulado anual</v>
      </c>
      <c r="E390" s="667">
        <f t="shared" si="59"/>
        <v>0.4867693777479723</v>
      </c>
      <c r="F390" s="616"/>
      <c r="G390" s="667">
        <f>G440</f>
        <v>0.45136179415568983</v>
      </c>
      <c r="H390" s="616"/>
      <c r="I390" s="667">
        <f>I440</f>
        <v>0.39236715794007226</v>
      </c>
      <c r="J390" s="616"/>
      <c r="K390" s="667">
        <f>K440</f>
        <v>0.17997161391157937</v>
      </c>
      <c r="L390" s="616"/>
      <c r="M390" s="667"/>
      <c r="N390" s="616"/>
    </row>
    <row r="391" spans="2:14" ht="17.25" thickBot="1" thickTop="1">
      <c r="B391" s="411"/>
      <c r="C391" s="411"/>
      <c r="D391" s="606">
        <f t="shared" si="59"/>
        <v>0</v>
      </c>
      <c r="E391" s="668">
        <f t="shared" si="59"/>
        <v>0</v>
      </c>
      <c r="F391" s="662"/>
      <c r="G391" s="668">
        <f>G441</f>
        <v>0</v>
      </c>
      <c r="H391" s="662"/>
      <c r="I391" s="668">
        <f>I441</f>
        <v>0</v>
      </c>
      <c r="J391" s="662"/>
      <c r="K391" s="668">
        <f>K441</f>
        <v>0</v>
      </c>
      <c r="L391" s="662"/>
      <c r="M391" s="668">
        <f>M441</f>
        <v>0</v>
      </c>
      <c r="N391" s="662"/>
    </row>
    <row r="392" spans="2:14" ht="21" thickTop="1">
      <c r="B392" s="339"/>
      <c r="C392" s="339"/>
      <c r="D392" s="520" t="str">
        <f>D445</f>
        <v>MEDIO AGUINALDO</v>
      </c>
      <c r="E392" s="552"/>
      <c r="F392" s="617"/>
      <c r="G392" s="552"/>
      <c r="H392" s="617"/>
      <c r="I392" s="552"/>
      <c r="J392" s="617"/>
      <c r="K392" s="552"/>
      <c r="L392" s="617"/>
      <c r="M392" s="552"/>
      <c r="N392" s="617"/>
    </row>
    <row r="393" spans="2:14" ht="15">
      <c r="B393" s="339"/>
      <c r="C393" s="339"/>
      <c r="D393" s="521"/>
      <c r="E393" s="553"/>
      <c r="F393" s="618"/>
      <c r="G393" s="553"/>
      <c r="H393" s="618"/>
      <c r="I393" s="553"/>
      <c r="J393" s="618"/>
      <c r="K393" s="553"/>
      <c r="L393" s="618"/>
      <c r="M393" s="553"/>
      <c r="N393" s="618"/>
    </row>
    <row r="394" spans="2:14" ht="15.75">
      <c r="B394" s="339"/>
      <c r="C394" s="339"/>
      <c r="D394" s="522" t="str">
        <f>D447</f>
        <v>Código 550</v>
      </c>
      <c r="E394" s="577">
        <f>E447</f>
        <v>464288.20345146797</v>
      </c>
      <c r="F394" s="619"/>
      <c r="G394" s="577">
        <f>G447</f>
        <v>453231.126529747</v>
      </c>
      <c r="H394" s="619"/>
      <c r="I394" s="577">
        <f>I447</f>
        <v>434808.28700146003</v>
      </c>
      <c r="J394" s="619"/>
      <c r="K394" s="577">
        <f>K447</f>
        <v>368481.4262024731</v>
      </c>
      <c r="L394" s="619"/>
      <c r="M394" s="577">
        <f>M447</f>
        <v>312279.90729451994</v>
      </c>
      <c r="N394" s="619"/>
    </row>
    <row r="395" spans="2:14" ht="15">
      <c r="B395" s="339"/>
      <c r="C395" s="339"/>
      <c r="D395" s="782"/>
      <c r="E395" s="576"/>
      <c r="F395" s="618"/>
      <c r="G395" s="576"/>
      <c r="H395" s="618"/>
      <c r="I395" s="576"/>
      <c r="J395" s="618"/>
      <c r="K395" s="576"/>
      <c r="L395" s="618"/>
      <c r="M395" s="576"/>
      <c r="N395" s="618"/>
    </row>
    <row r="396" spans="2:14" ht="15.75">
      <c r="B396" s="339"/>
      <c r="C396" s="339"/>
      <c r="D396" s="522" t="str">
        <f aca="true" t="shared" si="60" ref="D396:D402">D449</f>
        <v>Descuentos</v>
      </c>
      <c r="E396" s="576"/>
      <c r="F396" s="619"/>
      <c r="G396" s="576"/>
      <c r="H396" s="619"/>
      <c r="I396" s="576"/>
      <c r="J396" s="619"/>
      <c r="K396" s="576"/>
      <c r="L396" s="619"/>
      <c r="M396" s="576"/>
      <c r="N396" s="619"/>
    </row>
    <row r="397" spans="2:14" ht="15">
      <c r="B397" s="406">
        <f>B450</f>
        <v>703</v>
      </c>
      <c r="C397" s="455">
        <f>C450</f>
        <v>0.0025</v>
      </c>
      <c r="D397" s="523" t="str">
        <f t="shared" si="60"/>
        <v>Federación de  jubil</v>
      </c>
      <c r="E397" s="578">
        <f aca="true" t="shared" si="61" ref="E397:E402">E450</f>
        <v>1160.72050862867</v>
      </c>
      <c r="F397" s="611"/>
      <c r="G397" s="578">
        <f aca="true" t="shared" si="62" ref="G397:G402">G450</f>
        <v>1133.0778163243674</v>
      </c>
      <c r="H397" s="611"/>
      <c r="I397" s="578">
        <f aca="true" t="shared" si="63" ref="I397:I402">I450</f>
        <v>1087.02071750365</v>
      </c>
      <c r="J397" s="611"/>
      <c r="K397" s="578">
        <f aca="true" t="shared" si="64" ref="K397:M402">K450</f>
        <v>921.2035655061828</v>
      </c>
      <c r="L397" s="611"/>
      <c r="M397" s="578">
        <f t="shared" si="64"/>
        <v>780.6997682362999</v>
      </c>
      <c r="N397" s="611"/>
    </row>
    <row r="398" spans="2:14" ht="15">
      <c r="B398" s="407">
        <f>B451</f>
        <v>707</v>
      </c>
      <c r="C398" s="433">
        <f>C451</f>
        <v>0.03</v>
      </c>
      <c r="D398" s="524" t="str">
        <f t="shared" si="60"/>
        <v>Aporte IOSPER</v>
      </c>
      <c r="E398" s="578">
        <f t="shared" si="61"/>
        <v>13928.646103544039</v>
      </c>
      <c r="F398" s="608"/>
      <c r="G398" s="578">
        <f t="shared" si="62"/>
        <v>13596.93379589241</v>
      </c>
      <c r="H398" s="608"/>
      <c r="I398" s="578">
        <f t="shared" si="63"/>
        <v>13044.2486100438</v>
      </c>
      <c r="J398" s="608"/>
      <c r="K398" s="578">
        <f t="shared" si="64"/>
        <v>11054.442786074193</v>
      </c>
      <c r="L398" s="608"/>
      <c r="M398" s="578">
        <f t="shared" si="64"/>
        <v>9368.397218835598</v>
      </c>
      <c r="N398" s="608"/>
    </row>
    <row r="399" spans="2:14" ht="15.75">
      <c r="B399" s="407">
        <f>B452</f>
        <v>709</v>
      </c>
      <c r="C399" s="434">
        <v>0.0015</v>
      </c>
      <c r="D399" s="524" t="str">
        <f t="shared" si="60"/>
        <v>Seguro ley 3011</v>
      </c>
      <c r="E399" s="578">
        <f t="shared" si="61"/>
        <v>696.432305177202</v>
      </c>
      <c r="F399" s="608"/>
      <c r="G399" s="578">
        <f t="shared" si="62"/>
        <v>679.8466897946205</v>
      </c>
      <c r="H399" s="608"/>
      <c r="I399" s="578">
        <f t="shared" si="63"/>
        <v>652.21243050219</v>
      </c>
      <c r="J399" s="608"/>
      <c r="K399" s="578">
        <f t="shared" si="64"/>
        <v>552.7221393037097</v>
      </c>
      <c r="L399" s="608"/>
      <c r="M399" s="578">
        <f t="shared" si="64"/>
        <v>468.4198609417799</v>
      </c>
      <c r="N399" s="608"/>
    </row>
    <row r="400" spans="2:14" ht="15">
      <c r="B400" s="407">
        <f>B453</f>
        <v>713</v>
      </c>
      <c r="C400" s="435">
        <f>C453</f>
        <v>0.007</v>
      </c>
      <c r="D400" s="524" t="str">
        <f t="shared" si="60"/>
        <v>Serv Sepelio IAPS</v>
      </c>
      <c r="E400" s="578">
        <f t="shared" si="61"/>
        <v>3250.017424160276</v>
      </c>
      <c r="F400" s="608"/>
      <c r="G400" s="578">
        <f t="shared" si="62"/>
        <v>3172.617885708229</v>
      </c>
      <c r="H400" s="608"/>
      <c r="I400" s="578">
        <f t="shared" si="63"/>
        <v>3043.65800901022</v>
      </c>
      <c r="J400" s="608"/>
      <c r="K400" s="578">
        <f t="shared" si="64"/>
        <v>2579.3699834173117</v>
      </c>
      <c r="L400" s="608"/>
      <c r="M400" s="578">
        <f t="shared" si="64"/>
        <v>2185.9593510616396</v>
      </c>
      <c r="N400" s="608"/>
    </row>
    <row r="401" spans="2:14" ht="15.75" thickBot="1">
      <c r="B401" s="407">
        <f>B454</f>
        <v>787</v>
      </c>
      <c r="C401" s="433">
        <f>C454</f>
        <v>0.01</v>
      </c>
      <c r="D401" s="524" t="str">
        <f t="shared" si="60"/>
        <v>Desc AGMER 1 %</v>
      </c>
      <c r="E401" s="578">
        <f t="shared" si="61"/>
        <v>4642.88203451468</v>
      </c>
      <c r="F401" s="608"/>
      <c r="G401" s="578">
        <f t="shared" si="62"/>
        <v>4532.31126529747</v>
      </c>
      <c r="H401" s="608"/>
      <c r="I401" s="578">
        <f t="shared" si="63"/>
        <v>4348.0828700146</v>
      </c>
      <c r="J401" s="608"/>
      <c r="K401" s="578">
        <f t="shared" si="64"/>
        <v>3684.8142620247313</v>
      </c>
      <c r="L401" s="608"/>
      <c r="M401" s="578">
        <f t="shared" si="64"/>
        <v>3122.7990729451994</v>
      </c>
      <c r="N401" s="608"/>
    </row>
    <row r="402" spans="2:14" ht="16.5" thickBot="1">
      <c r="B402" s="339"/>
      <c r="C402" s="339"/>
      <c r="D402" s="525" t="str">
        <f t="shared" si="60"/>
        <v>Total Descuentos</v>
      </c>
      <c r="E402" s="579">
        <f t="shared" si="61"/>
        <v>23678.69837602487</v>
      </c>
      <c r="F402" s="613"/>
      <c r="G402" s="579">
        <f t="shared" si="62"/>
        <v>23114.787453017096</v>
      </c>
      <c r="H402" s="613"/>
      <c r="I402" s="579">
        <f t="shared" si="63"/>
        <v>22175.22263707446</v>
      </c>
      <c r="J402" s="613"/>
      <c r="K402" s="579">
        <f t="shared" si="64"/>
        <v>18792.552736326128</v>
      </c>
      <c r="L402" s="613"/>
      <c r="M402" s="579">
        <f t="shared" si="64"/>
        <v>15926.275272020517</v>
      </c>
      <c r="N402" s="613"/>
    </row>
    <row r="403" spans="2:14" ht="16.5" thickBot="1">
      <c r="B403" s="339"/>
      <c r="C403" s="339"/>
      <c r="D403" s="526"/>
      <c r="E403" s="580"/>
      <c r="F403" s="554"/>
      <c r="G403" s="580"/>
      <c r="H403" s="554"/>
      <c r="I403" s="580"/>
      <c r="J403" s="554"/>
      <c r="K403" s="580"/>
      <c r="L403" s="554"/>
      <c r="M403" s="580"/>
      <c r="N403" s="554"/>
    </row>
    <row r="404" spans="2:14" ht="21" thickBot="1">
      <c r="B404" s="339"/>
      <c r="C404" s="339"/>
      <c r="D404" s="527" t="str">
        <f>D457</f>
        <v>Líquido</v>
      </c>
      <c r="E404" s="581">
        <f>E457</f>
        <v>440609.50507544307</v>
      </c>
      <c r="F404" s="620"/>
      <c r="G404" s="581">
        <f>G457</f>
        <v>430116.3390767299</v>
      </c>
      <c r="H404" s="620"/>
      <c r="I404" s="581">
        <f>I457</f>
        <v>412633.06436438556</v>
      </c>
      <c r="J404" s="620"/>
      <c r="K404" s="581">
        <f>K457</f>
        <v>349688.873466147</v>
      </c>
      <c r="L404" s="620"/>
      <c r="M404" s="581">
        <f>M457</f>
        <v>296353.63202249946</v>
      </c>
      <c r="N404" s="620"/>
    </row>
    <row r="405" spans="2:14" ht="17.25" hidden="1" thickBot="1" thickTop="1">
      <c r="B405" s="639"/>
      <c r="C405" s="444"/>
      <c r="D405" s="635"/>
      <c r="E405" s="571"/>
      <c r="F405" s="655"/>
      <c r="G405" s="571"/>
      <c r="H405" s="655"/>
      <c r="I405" s="571"/>
      <c r="J405" s="655"/>
      <c r="K405" s="571"/>
      <c r="L405" s="655"/>
      <c r="M405" s="571"/>
      <c r="N405" s="655"/>
    </row>
    <row r="406" spans="2:14" ht="24" hidden="1" thickBot="1">
      <c r="B406" s="678"/>
      <c r="C406" s="678"/>
      <c r="D406" s="672" t="s">
        <v>23</v>
      </c>
      <c r="E406" s="737">
        <f>E430</f>
        <v>881219.0101508861</v>
      </c>
      <c r="F406" s="738"/>
      <c r="G406" s="737">
        <f>G430</f>
        <v>860232.6781534598</v>
      </c>
      <c r="H406" s="738"/>
      <c r="I406" s="737">
        <f>I430</f>
        <v>825266.1287287711</v>
      </c>
      <c r="J406" s="738"/>
      <c r="K406" s="737">
        <f>K430</f>
        <v>699377.746932294</v>
      </c>
      <c r="L406" s="738"/>
      <c r="M406" s="737">
        <f>M430</f>
        <v>592707.2640449989</v>
      </c>
      <c r="N406" s="738"/>
    </row>
    <row r="407" spans="2:14" ht="24" hidden="1" thickBot="1">
      <c r="B407" s="678"/>
      <c r="C407" s="678"/>
      <c r="D407" s="672"/>
      <c r="E407" s="737"/>
      <c r="F407" s="985" t="s">
        <v>521</v>
      </c>
      <c r="G407" s="737"/>
      <c r="H407" s="985" t="s">
        <v>521</v>
      </c>
      <c r="I407" s="737"/>
      <c r="J407" s="985" t="s">
        <v>521</v>
      </c>
      <c r="K407" s="737">
        <f>K431</f>
        <v>724377.746932294</v>
      </c>
      <c r="L407" s="738"/>
      <c r="M407" s="737"/>
      <c r="N407" s="738"/>
    </row>
    <row r="408" spans="2:14" ht="16.5" hidden="1" thickBot="1">
      <c r="B408" s="705" t="s">
        <v>11</v>
      </c>
      <c r="C408" s="678"/>
      <c r="D408" s="732">
        <f>D350*86.9</f>
        <v>3128.4</v>
      </c>
      <c r="E408" s="732"/>
      <c r="F408" s="734"/>
      <c r="G408" s="732"/>
      <c r="H408" s="734"/>
      <c r="I408" s="732"/>
      <c r="J408" s="734"/>
      <c r="K408" s="732"/>
      <c r="L408" s="734"/>
      <c r="M408" s="732"/>
      <c r="N408" s="734"/>
    </row>
    <row r="409" spans="2:14" ht="15.75" hidden="1" thickBot="1">
      <c r="B409" s="671"/>
      <c r="C409" s="714"/>
      <c r="D409" s="739"/>
      <c r="E409" s="671"/>
      <c r="F409" s="740"/>
      <c r="G409" s="671"/>
      <c r="H409" s="740"/>
      <c r="I409" s="671"/>
      <c r="J409" s="740"/>
      <c r="K409" s="671"/>
      <c r="L409" s="740"/>
      <c r="M409" s="671"/>
      <c r="N409" s="740"/>
    </row>
    <row r="410" spans="2:14" ht="21" hidden="1" thickBot="1">
      <c r="B410" s="726"/>
      <c r="C410" s="726"/>
      <c r="D410" s="741"/>
      <c r="E410" s="901">
        <v>45383</v>
      </c>
      <c r="F410" s="902">
        <v>0.4668</v>
      </c>
      <c r="G410" s="901">
        <v>45352</v>
      </c>
      <c r="H410" s="902">
        <v>0.4514</v>
      </c>
      <c r="I410" s="901">
        <v>45323</v>
      </c>
      <c r="J410" s="902">
        <f>1.18*1.18-1</f>
        <v>0.39239999999999986</v>
      </c>
      <c r="K410" s="901">
        <v>45292</v>
      </c>
      <c r="L410" s="902">
        <v>0.18</v>
      </c>
      <c r="M410" s="901">
        <v>45261</v>
      </c>
      <c r="N410" s="902">
        <f>aumento10-1</f>
        <v>1.4117000000000002</v>
      </c>
    </row>
    <row r="411" spans="2:14" ht="13.5" hidden="1" thickBot="1">
      <c r="B411" s="726"/>
      <c r="C411" s="726"/>
      <c r="D411" s="726"/>
      <c r="E411" s="726"/>
      <c r="F411" s="727"/>
      <c r="G411" s="726"/>
      <c r="H411" s="727"/>
      <c r="I411" s="726"/>
      <c r="J411" s="727"/>
      <c r="K411" s="726"/>
      <c r="L411" s="727"/>
      <c r="M411" s="726"/>
      <c r="N411" s="727"/>
    </row>
    <row r="412" spans="2:14" ht="15.75" hidden="1" thickBot="1">
      <c r="B412" s="678">
        <v>402</v>
      </c>
      <c r="C412" s="678"/>
      <c r="D412" s="678" t="s">
        <v>13</v>
      </c>
      <c r="E412" s="679">
        <f>puntostotalhorassup*indiceabr24*porjubhorsup</f>
        <v>354377.8628279999</v>
      </c>
      <c r="F412" s="837"/>
      <c r="G412" s="679">
        <f>puntostotalhorassup*indicemar24*porjubhorsup</f>
        <v>345938.32183679997</v>
      </c>
      <c r="H412" s="837"/>
      <c r="I412" s="679">
        <f>puntostotalhorassup*indicefeb24*porjubhorsup</f>
        <v>331876.69566479995</v>
      </c>
      <c r="J412" s="837"/>
      <c r="K412" s="679">
        <f>puntostotalhorassup*indiceene24*porjubhorsup</f>
        <v>281251.35265392</v>
      </c>
      <c r="L412" s="837"/>
      <c r="M412" s="679">
        <f>puntostotalhorassup*indicedic23*porjubhorsup</f>
        <v>238348.60394399997</v>
      </c>
      <c r="N412" s="837"/>
    </row>
    <row r="413" spans="2:14" ht="15.75" hidden="1" thickBot="1">
      <c r="B413" s="678">
        <v>406</v>
      </c>
      <c r="C413" s="678"/>
      <c r="D413" s="678" t="s">
        <v>14</v>
      </c>
      <c r="E413" s="679">
        <f>E412*porcantigsup</f>
        <v>425253.4353935999</v>
      </c>
      <c r="F413" s="837"/>
      <c r="G413" s="679">
        <f>G412*porcantigsup</f>
        <v>415125.98620415997</v>
      </c>
      <c r="H413" s="837"/>
      <c r="I413" s="679">
        <f>I412*porcantigsup</f>
        <v>398252.0347977599</v>
      </c>
      <c r="J413" s="837"/>
      <c r="K413" s="679">
        <f>K412*porcantigsup</f>
        <v>337501.623184704</v>
      </c>
      <c r="L413" s="837"/>
      <c r="M413" s="679">
        <f>M412*porcantigsup</f>
        <v>286018.32473279996</v>
      </c>
      <c r="N413" s="837"/>
    </row>
    <row r="414" spans="2:14" ht="15.75" hidden="1" thickBot="1">
      <c r="B414" s="678">
        <v>432</v>
      </c>
      <c r="C414" s="678"/>
      <c r="D414" s="678" t="s">
        <v>317</v>
      </c>
      <c r="E414" s="679">
        <f>IF(porcantigsup&lt;100%,IF(numhorassup&gt;17,17*2096.1,2096.1*numhorassup),IF(numhorassup&gt;17,17*2078.49,2078.49*numhorassup))*porjubhorsup*1.0678</f>
        <v>30938.598010679994</v>
      </c>
      <c r="F414" s="837"/>
      <c r="G414" s="679">
        <f>IF(porcantigsup&lt;100%,IF(numhorassup&gt;17,17*2096.1,2096.1*numhorassup),IF(numhorassup&gt;17,17*2078.49,2078.49*numhorassup))*porjubhorsup*1.04237</f>
        <v>30201.785360921993</v>
      </c>
      <c r="H414" s="837"/>
      <c r="I414" s="679">
        <f>IF(porcantigsup&lt;100%,IF(numhorassup&gt;17,17*2096.1,2096.1*numhorassup),IF(numhorassup&gt;17,17*2078.49,2078.49*numhorassup))*porjubhorsup</f>
        <v>28974.150599999994</v>
      </c>
      <c r="J414" s="837"/>
      <c r="K414" s="679">
        <f>IF(numhorassup&gt;17,17*619.1,619.1*numhorassup)*porjubhorsup*Aumento11</f>
        <v>24554.379716489315</v>
      </c>
      <c r="L414" s="837"/>
      <c r="M414" s="679">
        <f>IF(numhorassup&gt;17,17*619.1,619.1*numhorassup)*porjubhorsup*aumento10</f>
        <v>20813.583571800005</v>
      </c>
      <c r="N414" s="837"/>
    </row>
    <row r="415" spans="2:14" ht="15.75" hidden="1" thickBot="1">
      <c r="B415" s="678">
        <v>434</v>
      </c>
      <c r="C415" s="678"/>
      <c r="D415" s="678" t="s">
        <v>313</v>
      </c>
      <c r="E415" s="679">
        <f>(E412+E413+E414+E416)*0.07*0.95</f>
        <v>55136.81782733626</v>
      </c>
      <c r="F415" s="837"/>
      <c r="G415" s="679">
        <f>(G412+G413+G414+G416)*0.07*0.95</f>
        <v>53823.72874443394</v>
      </c>
      <c r="H415" s="837"/>
      <c r="I415" s="679">
        <f>(I412+I413+I414+I416)*0.07*0.95</f>
        <v>51635.91354036023</v>
      </c>
      <c r="J415" s="837"/>
      <c r="K415" s="679">
        <f>(K412+K413+K414+K416)*0.07*0.95</f>
        <v>43759.22743377443</v>
      </c>
      <c r="L415" s="837"/>
      <c r="M415" s="679">
        <f>(M412+M413+M414+M416)*0.07*0.95</f>
        <v>37084.60031973393</v>
      </c>
      <c r="N415" s="837"/>
    </row>
    <row r="416" spans="2:14" ht="15.75" hidden="1" thickBot="1">
      <c r="B416" s="678">
        <v>437</v>
      </c>
      <c r="C416" s="678"/>
      <c r="D416" s="688" t="s">
        <v>484</v>
      </c>
      <c r="E416" s="743">
        <f>IF(numhorassup&gt;30,21191.49,706.37*numhorassup)*porjubhorsup*1.0678</f>
        <v>18555.18387804</v>
      </c>
      <c r="F416" s="837"/>
      <c r="G416" s="743">
        <f>IF(numhorassup&gt;30,21191.49,706.37*numhorassup)*porjubhorsup*1.04237</f>
        <v>18113.286213666</v>
      </c>
      <c r="H416" s="837"/>
      <c r="I416" s="743">
        <f>IF(numhorassup&gt;30,21191.49,706.37*numhorassup)*porjubhorsup</f>
        <v>17377.0218</v>
      </c>
      <c r="J416" s="837"/>
      <c r="K416" s="743">
        <f>IF(numhorassup&gt;30,210.4013*30,210.4013*numhorassup)*porjubhorsup*Aumento11</f>
        <v>14726.139689614858</v>
      </c>
      <c r="L416" s="837"/>
      <c r="M416" s="743">
        <f>IF(numhorassup&gt;30,210.4013*30,210.4013*numhorassup)*porjubhorsup*aumento10</f>
        <v>12482.650454166002</v>
      </c>
      <c r="N416" s="837"/>
    </row>
    <row r="417" spans="2:14" ht="16.5" hidden="1" thickBot="1">
      <c r="B417" s="678"/>
      <c r="C417" s="678"/>
      <c r="D417" s="678" t="s">
        <v>327</v>
      </c>
      <c r="E417" s="691">
        <f>E367</f>
        <v>0</v>
      </c>
      <c r="F417" s="837"/>
      <c r="G417" s="691">
        <f>G367</f>
        <v>0</v>
      </c>
      <c r="H417" s="837"/>
      <c r="I417" s="691">
        <f>I367</f>
        <v>0</v>
      </c>
      <c r="J417" s="837"/>
      <c r="K417" s="691">
        <f>K367</f>
        <v>0</v>
      </c>
      <c r="L417" s="837"/>
      <c r="M417" s="691">
        <f>M367</f>
        <v>0</v>
      </c>
      <c r="N417" s="837"/>
    </row>
    <row r="418" spans="2:14" ht="21" hidden="1" thickBot="1">
      <c r="B418" s="744">
        <v>1584</v>
      </c>
      <c r="C418" s="745">
        <f>C368</f>
        <v>15</v>
      </c>
      <c r="D418" s="746" t="s">
        <v>490</v>
      </c>
      <c r="E418" s="743">
        <f>IF($C418="",IF(numhorassup&lt;15,3374.05*numhorassup,50610.68),IF($C418&lt;15,706.37*$C418,50610.68))*porjubhorsup*solohorassup*1.0678</f>
        <v>44314.50896528</v>
      </c>
      <c r="F418" s="837"/>
      <c r="G418" s="743">
        <f>IF($C418="",IF(numhorassup&lt;15,3374.05*numhorassup,50610.68),IF($C418&lt;15,706.37*$C418,50610.68))*porjubhorsup*solohorassup*1.04237</f>
        <v>43259.144699512</v>
      </c>
      <c r="H418" s="837"/>
      <c r="I418" s="743">
        <f>IF($C418="",IF(numhorassup&lt;15,3374.05*numhorassup,50610.68),IF($C418&lt;15,706.37*$C418,50610.68))*porjubhorsup*solohorassup</f>
        <v>41500.7576</v>
      </c>
      <c r="J418" s="837"/>
      <c r="K418" s="743">
        <f>IF($C418="",IF(numhorassup&lt;15,1004.994*numhorassup,15074.91),IF($C418&lt;15,1004.994*$C418,15074.91))*porjubhorsup*solohorassup*Aumento11</f>
        <v>35170.129726443694</v>
      </c>
      <c r="L418" s="837"/>
      <c r="M418" s="743">
        <f>IF($C418="",IF(numhorassup&lt;15,1004.994*numhorassup,15074.91),IF($C418&lt;15,1004.994*$C418,15074.91))*porjubhorsup*solohorassup*aumento10</f>
        <v>29812.05156654</v>
      </c>
      <c r="N418" s="837"/>
    </row>
    <row r="419" spans="2:14" ht="18.75" hidden="1" thickBot="1">
      <c r="B419" s="678"/>
      <c r="C419" s="726"/>
      <c r="D419" s="693" t="s">
        <v>15</v>
      </c>
      <c r="E419" s="732">
        <f>SUM(E412:E418)</f>
        <v>928576.4069029359</v>
      </c>
      <c r="F419" s="837"/>
      <c r="G419" s="732">
        <f>SUM(G412:G418)</f>
        <v>906462.253059494</v>
      </c>
      <c r="H419" s="837"/>
      <c r="I419" s="732">
        <f>SUM(I412:I418)</f>
        <v>869616.5740029201</v>
      </c>
      <c r="J419" s="837"/>
      <c r="K419" s="732">
        <f>SUM(K412:K418)</f>
        <v>736962.8524049462</v>
      </c>
      <c r="L419" s="837"/>
      <c r="M419" s="732">
        <f>SUM(M412:M418)</f>
        <v>624559.8145890399</v>
      </c>
      <c r="N419" s="837"/>
    </row>
    <row r="420" spans="2:14" ht="18.75" hidden="1" thickBot="1">
      <c r="B420" s="678"/>
      <c r="C420" s="726"/>
      <c r="D420" s="693" t="s">
        <v>516</v>
      </c>
      <c r="E420" s="732">
        <v>0</v>
      </c>
      <c r="F420" s="837"/>
      <c r="G420" s="732">
        <v>0</v>
      </c>
      <c r="H420" s="837"/>
      <c r="I420" s="732">
        <v>0</v>
      </c>
      <c r="J420" s="837"/>
      <c r="K420" s="732">
        <f>IF(1666.666*numhorassup&gt;25000,25000,1666.666*numhorassup)*C370</f>
        <v>25000</v>
      </c>
      <c r="L420" s="837"/>
      <c r="M420" s="732"/>
      <c r="N420" s="837"/>
    </row>
    <row r="421" spans="2:14" ht="18.75" hidden="1" thickBot="1">
      <c r="B421" s="678"/>
      <c r="C421" s="726"/>
      <c r="D421" s="693" t="s">
        <v>517</v>
      </c>
      <c r="E421" s="732">
        <f>E419+E420</f>
        <v>928576.4069029359</v>
      </c>
      <c r="F421" s="837"/>
      <c r="G421" s="732">
        <f>G419+G420</f>
        <v>906462.253059494</v>
      </c>
      <c r="H421" s="837"/>
      <c r="I421" s="732">
        <f>I419+I420</f>
        <v>869616.5740029201</v>
      </c>
      <c r="J421" s="837"/>
      <c r="K421" s="732">
        <f>K419+K420</f>
        <v>761962.8524049462</v>
      </c>
      <c r="L421" s="837"/>
      <c r="M421" s="732"/>
      <c r="N421" s="837"/>
    </row>
    <row r="422" spans="2:14" ht="15.75" hidden="1" thickBot="1">
      <c r="B422" s="678">
        <v>703</v>
      </c>
      <c r="C422" s="697">
        <v>0.0025</v>
      </c>
      <c r="D422" s="698" t="s">
        <v>16</v>
      </c>
      <c r="E422" s="699">
        <f>(E419-E417)*$C422</f>
        <v>2321.44101725734</v>
      </c>
      <c r="F422" s="837"/>
      <c r="G422" s="699">
        <f>(G419-G417)*$C422</f>
        <v>2266.155632648735</v>
      </c>
      <c r="H422" s="837"/>
      <c r="I422" s="699">
        <f>(I419-I417)*$C422</f>
        <v>2174.0414350073</v>
      </c>
      <c r="J422" s="837"/>
      <c r="K422" s="699">
        <f>(K419-K417)*$C422</f>
        <v>1842.4071310123657</v>
      </c>
      <c r="L422" s="837"/>
      <c r="M422" s="699">
        <f>(M419-M417)*$C422</f>
        <v>1561.3995364725997</v>
      </c>
      <c r="N422" s="837"/>
    </row>
    <row r="423" spans="2:14" ht="15.75" hidden="1" thickBot="1">
      <c r="B423" s="671">
        <v>707</v>
      </c>
      <c r="C423" s="701">
        <v>0.03</v>
      </c>
      <c r="D423" s="678" t="s">
        <v>17</v>
      </c>
      <c r="E423" s="699">
        <f>(E419-E417)*$C423</f>
        <v>27857.292207088078</v>
      </c>
      <c r="F423" s="837"/>
      <c r="G423" s="699">
        <f>(G419-G417)*$C423</f>
        <v>27193.86759178482</v>
      </c>
      <c r="H423" s="837"/>
      <c r="I423" s="699">
        <f>(I419-I417)*$C423</f>
        <v>26088.4972200876</v>
      </c>
      <c r="J423" s="837"/>
      <c r="K423" s="699">
        <f>(K419-K417)*$C423</f>
        <v>22108.885572148385</v>
      </c>
      <c r="L423" s="837"/>
      <c r="M423" s="699">
        <f>(M419-M417)*$C423</f>
        <v>18736.794437671197</v>
      </c>
      <c r="N423" s="837"/>
    </row>
    <row r="424" spans="2:14" ht="16.5" hidden="1" thickBot="1">
      <c r="B424" s="671">
        <v>709</v>
      </c>
      <c r="C424" s="759">
        <f>C374</f>
        <v>0.0015</v>
      </c>
      <c r="D424" s="678" t="s">
        <v>18</v>
      </c>
      <c r="E424" s="699">
        <f>(E419-E417)*$C424</f>
        <v>1392.864610354404</v>
      </c>
      <c r="F424" s="837"/>
      <c r="G424" s="699">
        <f>(G419-G417)*$C424</f>
        <v>1359.693379589241</v>
      </c>
      <c r="H424" s="837"/>
      <c r="I424" s="699">
        <f>(I419-I417)*$C424</f>
        <v>1304.42486100438</v>
      </c>
      <c r="J424" s="837"/>
      <c r="K424" s="699">
        <f>(K419-K417)*$C424</f>
        <v>1105.4442786074194</v>
      </c>
      <c r="L424" s="837"/>
      <c r="M424" s="699">
        <f>(M419-M417)*$C424</f>
        <v>936.8397218835598</v>
      </c>
      <c r="N424" s="837"/>
    </row>
    <row r="425" spans="2:14" ht="15.75" hidden="1" thickBot="1">
      <c r="B425" s="671">
        <v>713</v>
      </c>
      <c r="C425" s="703">
        <v>0.007</v>
      </c>
      <c r="D425" s="678" t="s">
        <v>20</v>
      </c>
      <c r="E425" s="699">
        <f>(E419-E417)*$C425</f>
        <v>6500.034848320552</v>
      </c>
      <c r="F425" s="837"/>
      <c r="G425" s="699">
        <f>(G419-G417)*$C425</f>
        <v>6345.235771416458</v>
      </c>
      <c r="H425" s="837"/>
      <c r="I425" s="699">
        <f>(I419-I417)*$C425</f>
        <v>6087.31601802044</v>
      </c>
      <c r="J425" s="837"/>
      <c r="K425" s="699">
        <f>(K419-K417)*$C425</f>
        <v>5158.739966834623</v>
      </c>
      <c r="L425" s="837"/>
      <c r="M425" s="699">
        <f>(M419-M417)*$C425</f>
        <v>4371.918702123279</v>
      </c>
      <c r="N425" s="837"/>
    </row>
    <row r="426" spans="2:14" ht="15.75" hidden="1" thickBot="1">
      <c r="B426" s="671">
        <v>787</v>
      </c>
      <c r="C426" s="701">
        <v>0.01</v>
      </c>
      <c r="D426" s="678" t="s">
        <v>387</v>
      </c>
      <c r="E426" s="699">
        <f>(E419-E417)*$C426</f>
        <v>9285.76406902936</v>
      </c>
      <c r="F426" s="837"/>
      <c r="G426" s="699">
        <f>(G419-G417)*$C426</f>
        <v>9064.62253059494</v>
      </c>
      <c r="H426" s="837"/>
      <c r="I426" s="699">
        <f>(I419-I417)*$C426</f>
        <v>8696.1657400292</v>
      </c>
      <c r="J426" s="837"/>
      <c r="K426" s="699">
        <f>(K419-K417)*$C426</f>
        <v>7369.628524049463</v>
      </c>
      <c r="L426" s="837"/>
      <c r="M426" s="699">
        <f>(M419-M417)*$C426</f>
        <v>6245.598145890399</v>
      </c>
      <c r="N426" s="837"/>
    </row>
    <row r="427" spans="2:14" ht="16.5" hidden="1" thickBot="1">
      <c r="B427" s="671"/>
      <c r="C427" s="671"/>
      <c r="D427" s="678" t="s">
        <v>21</v>
      </c>
      <c r="E427" s="747">
        <f>E377</f>
        <v>0</v>
      </c>
      <c r="F427" s="837"/>
      <c r="G427" s="747">
        <f>G377</f>
        <v>0</v>
      </c>
      <c r="H427" s="837"/>
      <c r="I427" s="747">
        <f>I377</f>
        <v>0</v>
      </c>
      <c r="J427" s="837"/>
      <c r="K427" s="747">
        <f>K377</f>
        <v>0</v>
      </c>
      <c r="L427" s="837"/>
      <c r="M427" s="747">
        <f>M377</f>
        <v>0</v>
      </c>
      <c r="N427" s="837"/>
    </row>
    <row r="428" spans="2:14" ht="16.5" hidden="1" thickBot="1">
      <c r="B428" s="671"/>
      <c r="C428" s="671"/>
      <c r="D428" s="705" t="s">
        <v>22</v>
      </c>
      <c r="E428" s="748">
        <f>SUM(E422:E427)</f>
        <v>47357.39675204974</v>
      </c>
      <c r="F428" s="837"/>
      <c r="G428" s="748">
        <f>SUM(G422:G427)</f>
        <v>46229.57490603419</v>
      </c>
      <c r="H428" s="837"/>
      <c r="I428" s="748">
        <f>SUM(I422:I427)</f>
        <v>44350.44527414892</v>
      </c>
      <c r="J428" s="837"/>
      <c r="K428" s="748">
        <f>SUM(K422:K427)</f>
        <v>37585.105472652256</v>
      </c>
      <c r="L428" s="837"/>
      <c r="M428" s="748">
        <f>SUM(M422:M427)</f>
        <v>31852.550544041034</v>
      </c>
      <c r="N428" s="837"/>
    </row>
    <row r="429" spans="2:14" ht="16.5" hidden="1" thickBot="1">
      <c r="B429" s="706"/>
      <c r="C429" s="706"/>
      <c r="D429" s="678"/>
      <c r="E429" s="707"/>
      <c r="F429" s="837"/>
      <c r="G429" s="707"/>
      <c r="H429" s="837"/>
      <c r="I429" s="707"/>
      <c r="J429" s="837"/>
      <c r="K429" s="707"/>
      <c r="L429" s="837"/>
      <c r="M429" s="707"/>
      <c r="N429" s="837"/>
    </row>
    <row r="430" spans="2:14" ht="18.75" hidden="1" thickBot="1">
      <c r="B430" s="708"/>
      <c r="C430" s="708"/>
      <c r="D430" s="709" t="s">
        <v>23</v>
      </c>
      <c r="E430" s="875">
        <f>E419-E428</f>
        <v>881219.0101508861</v>
      </c>
      <c r="F430" s="876"/>
      <c r="G430" s="875">
        <f>G419-G428</f>
        <v>860232.6781534598</v>
      </c>
      <c r="H430" s="876"/>
      <c r="I430" s="875">
        <f>I419-I428</f>
        <v>825266.1287287711</v>
      </c>
      <c r="J430" s="876"/>
      <c r="K430" s="875">
        <f>K419-K428</f>
        <v>699377.746932294</v>
      </c>
      <c r="L430" s="876"/>
      <c r="M430" s="875">
        <f>M419-M428</f>
        <v>592707.2640449989</v>
      </c>
      <c r="N430" s="876"/>
    </row>
    <row r="431" spans="2:14" ht="18.75" hidden="1" thickBot="1">
      <c r="B431" s="708"/>
      <c r="C431" s="708"/>
      <c r="D431" s="709" t="s">
        <v>515</v>
      </c>
      <c r="E431" s="875">
        <f>E421-E428</f>
        <v>881219.0101508861</v>
      </c>
      <c r="F431" s="876"/>
      <c r="G431" s="875">
        <f>G421-G428</f>
        <v>860232.6781534598</v>
      </c>
      <c r="H431" s="876"/>
      <c r="I431" s="875">
        <f>I421-I428</f>
        <v>825266.1287287711</v>
      </c>
      <c r="J431" s="876"/>
      <c r="K431" s="875">
        <f>K421-K428</f>
        <v>724377.746932294</v>
      </c>
      <c r="L431" s="876"/>
      <c r="M431" s="875"/>
      <c r="N431" s="876"/>
    </row>
    <row r="432" spans="2:14" ht="16.5" hidden="1" thickBot="1">
      <c r="B432" s="708"/>
      <c r="C432" s="708"/>
      <c r="D432" s="711"/>
      <c r="E432" s="711"/>
      <c r="F432" s="837"/>
      <c r="G432" s="711"/>
      <c r="H432" s="837"/>
      <c r="I432" s="711"/>
      <c r="J432" s="837"/>
      <c r="K432" s="711"/>
      <c r="L432" s="837"/>
      <c r="M432" s="711"/>
      <c r="N432" s="837"/>
    </row>
    <row r="433" spans="2:14" s="47" customFormat="1" ht="16.5" hidden="1" thickBot="1">
      <c r="B433" s="678"/>
      <c r="C433" s="678"/>
      <c r="D433" s="715" t="s">
        <v>493</v>
      </c>
      <c r="E433" s="953">
        <f>E430-G430</f>
        <v>20986.331997426343</v>
      </c>
      <c r="F433" s="986"/>
      <c r="G433" s="953">
        <f>G430-I430</f>
        <v>34966.54942468868</v>
      </c>
      <c r="H433" s="986"/>
      <c r="I433" s="953">
        <f>I430-K430</f>
        <v>125888.38179647713</v>
      </c>
      <c r="J433" s="986"/>
      <c r="K433" s="953">
        <f>K430-M430</f>
        <v>106670.48288729507</v>
      </c>
      <c r="L433" s="837"/>
      <c r="M433" s="716" t="e">
        <f>M430-#REF!</f>
        <v>#REF!</v>
      </c>
      <c r="N433" s="837"/>
    </row>
    <row r="434" spans="2:14" ht="16.5" hidden="1" thickBot="1">
      <c r="B434" s="678"/>
      <c r="C434" s="678"/>
      <c r="D434" s="715" t="s">
        <v>488</v>
      </c>
      <c r="E434" s="919">
        <f>E433/G430</f>
        <v>0.02439611111086217</v>
      </c>
      <c r="F434" s="837"/>
      <c r="G434" s="919">
        <f>G433/I430</f>
        <v>0.042370028536795376</v>
      </c>
      <c r="H434" s="837"/>
      <c r="I434" s="919">
        <f>I433/K430</f>
        <v>0.18000055384756794</v>
      </c>
      <c r="J434" s="837"/>
      <c r="K434" s="919">
        <f>K433/M430</f>
        <v>0.17997161391157937</v>
      </c>
      <c r="L434" s="837"/>
      <c r="M434" s="719" t="e">
        <f>M433/#REF!</f>
        <v>#REF!</v>
      </c>
      <c r="N434" s="837"/>
    </row>
    <row r="435" spans="2:14" ht="15.75" hidden="1" thickBot="1">
      <c r="B435" s="678"/>
      <c r="C435" s="678"/>
      <c r="D435" s="678"/>
      <c r="E435" s="678"/>
      <c r="F435" s="837"/>
      <c r="G435" s="678"/>
      <c r="H435" s="837"/>
      <c r="I435" s="678"/>
      <c r="J435" s="837"/>
      <c r="K435" s="678"/>
      <c r="L435" s="837"/>
      <c r="M435" s="678"/>
      <c r="N435" s="837"/>
    </row>
    <row r="436" spans="2:14" ht="15.75" hidden="1" thickBot="1">
      <c r="B436" s="678"/>
      <c r="C436" s="678"/>
      <c r="D436" s="923" t="s">
        <v>531</v>
      </c>
      <c r="E436" s="957"/>
      <c r="F436" s="837"/>
      <c r="G436" s="957"/>
      <c r="H436" s="837"/>
      <c r="I436" s="957">
        <f>I430-K431</f>
        <v>100888.38179647713</v>
      </c>
      <c r="J436" s="837"/>
      <c r="K436" s="957">
        <f>K431-M430</f>
        <v>131670.48288729507</v>
      </c>
      <c r="L436" s="837"/>
      <c r="M436" s="678"/>
      <c r="N436" s="837"/>
    </row>
    <row r="437" spans="2:14" ht="15.75" hidden="1" thickBot="1">
      <c r="B437" s="678"/>
      <c r="C437" s="678"/>
      <c r="D437" s="923" t="s">
        <v>532</v>
      </c>
      <c r="E437" s="958"/>
      <c r="F437" s="837"/>
      <c r="G437" s="958"/>
      <c r="H437" s="837"/>
      <c r="I437" s="958">
        <f>I436/K431</f>
        <v>0.13927592643994757</v>
      </c>
      <c r="J437" s="837"/>
      <c r="K437" s="958">
        <f>K436/M430</f>
        <v>0.222150951869047</v>
      </c>
      <c r="L437" s="837"/>
      <c r="M437" s="678"/>
      <c r="N437" s="837"/>
    </row>
    <row r="438" spans="2:14" ht="15.75" hidden="1" thickBot="1">
      <c r="B438" s="678"/>
      <c r="C438" s="678"/>
      <c r="D438" s="678"/>
      <c r="E438" s="678"/>
      <c r="F438" s="837"/>
      <c r="G438" s="678"/>
      <c r="H438" s="837"/>
      <c r="I438" s="678"/>
      <c r="J438" s="837"/>
      <c r="K438" s="678"/>
      <c r="L438" s="837"/>
      <c r="M438" s="678"/>
      <c r="N438" s="837"/>
    </row>
    <row r="439" spans="2:14" ht="18.75" hidden="1" thickBot="1">
      <c r="B439" s="678"/>
      <c r="C439" s="678"/>
      <c r="D439" s="720" t="s">
        <v>494</v>
      </c>
      <c r="E439" s="987">
        <f>E430-$M430</f>
        <v>288511.7461058872</v>
      </c>
      <c r="F439" s="988"/>
      <c r="G439" s="987">
        <f>G430-$M430</f>
        <v>267525.4141084609</v>
      </c>
      <c r="H439" s="988"/>
      <c r="I439" s="987">
        <f>I430-$M430</f>
        <v>232558.8646837722</v>
      </c>
      <c r="J439" s="988"/>
      <c r="K439" s="987">
        <f>K430-$M430</f>
        <v>106670.48288729507</v>
      </c>
      <c r="L439" s="837"/>
      <c r="M439" s="721" t="e">
        <f>M430-#REF!</f>
        <v>#REF!</v>
      </c>
      <c r="N439" s="837"/>
    </row>
    <row r="440" spans="2:14" ht="16.5" hidden="1" thickBot="1">
      <c r="B440" s="750"/>
      <c r="C440" s="678"/>
      <c r="D440" s="720" t="s">
        <v>533</v>
      </c>
      <c r="E440" s="725">
        <f>E439/$M430</f>
        <v>0.4867693777479723</v>
      </c>
      <c r="F440" s="837"/>
      <c r="G440" s="725">
        <f>G439/$M430</f>
        <v>0.45136179415568983</v>
      </c>
      <c r="H440" s="837"/>
      <c r="I440" s="725">
        <f>I439/$M430</f>
        <v>0.39236715794007226</v>
      </c>
      <c r="J440" s="837"/>
      <c r="K440" s="725">
        <f>K439/$M430</f>
        <v>0.17997161391157937</v>
      </c>
      <c r="L440" s="837"/>
      <c r="M440" s="722" t="e">
        <f>M439/#REF!</f>
        <v>#REF!</v>
      </c>
      <c r="N440" s="837"/>
    </row>
    <row r="441" spans="2:14" ht="16.5" hidden="1" thickBot="1">
      <c r="B441" s="678"/>
      <c r="C441" s="678"/>
      <c r="D441" s="724"/>
      <c r="E441" s="723"/>
      <c r="F441" s="837"/>
      <c r="G441" s="723"/>
      <c r="H441" s="837"/>
      <c r="I441" s="723"/>
      <c r="J441" s="837"/>
      <c r="K441" s="723"/>
      <c r="L441" s="837"/>
      <c r="M441" s="723"/>
      <c r="N441" s="837"/>
    </row>
    <row r="442" spans="2:14" ht="16.5" hidden="1" thickBot="1">
      <c r="B442" s="678"/>
      <c r="C442" s="678"/>
      <c r="D442" s="720"/>
      <c r="E442" s="721"/>
      <c r="F442" s="717"/>
      <c r="G442" s="721"/>
      <c r="H442" s="717"/>
      <c r="I442" s="721"/>
      <c r="J442" s="717"/>
      <c r="K442" s="721"/>
      <c r="L442" s="717"/>
      <c r="M442" s="721"/>
      <c r="N442" s="717"/>
    </row>
    <row r="443" spans="2:14" ht="16.5" hidden="1" thickBot="1">
      <c r="B443" s="678"/>
      <c r="C443" s="678"/>
      <c r="D443" s="720"/>
      <c r="E443" s="725"/>
      <c r="F443" s="717"/>
      <c r="G443" s="725"/>
      <c r="H443" s="717"/>
      <c r="I443" s="725"/>
      <c r="J443" s="717"/>
      <c r="K443" s="725"/>
      <c r="L443" s="717"/>
      <c r="M443" s="725"/>
      <c r="N443" s="717"/>
    </row>
    <row r="444" spans="2:14" ht="16.5" hidden="1" thickBot="1">
      <c r="B444" s="678"/>
      <c r="C444" s="678"/>
      <c r="D444" s="724"/>
      <c r="E444" s="723"/>
      <c r="F444" s="717"/>
      <c r="G444" s="723"/>
      <c r="H444" s="717"/>
      <c r="I444" s="723"/>
      <c r="J444" s="717"/>
      <c r="K444" s="723"/>
      <c r="L444" s="717"/>
      <c r="M444" s="723"/>
      <c r="N444" s="717"/>
    </row>
    <row r="445" spans="2:14" ht="21" hidden="1" thickBot="1">
      <c r="B445" s="671"/>
      <c r="C445" s="671"/>
      <c r="D445" s="728" t="s">
        <v>479</v>
      </c>
      <c r="E445" s="728"/>
      <c r="F445" s="730"/>
      <c r="G445" s="728"/>
      <c r="H445" s="730"/>
      <c r="I445" s="728"/>
      <c r="J445" s="730"/>
      <c r="K445" s="728"/>
      <c r="L445" s="730"/>
      <c r="M445" s="728"/>
      <c r="N445" s="730"/>
    </row>
    <row r="446" spans="2:14" ht="15.75" hidden="1" thickBot="1">
      <c r="B446" s="671"/>
      <c r="C446" s="671"/>
      <c r="D446" s="731"/>
      <c r="E446" s="731"/>
      <c r="F446" s="692"/>
      <c r="G446" s="731"/>
      <c r="H446" s="692"/>
      <c r="I446" s="731"/>
      <c r="J446" s="692"/>
      <c r="K446" s="731"/>
      <c r="L446" s="692"/>
      <c r="M446" s="731"/>
      <c r="N446" s="692"/>
    </row>
    <row r="447" spans="2:14" ht="16.5" hidden="1" thickBot="1">
      <c r="B447" s="671"/>
      <c r="C447" s="671"/>
      <c r="D447" s="732" t="s">
        <v>480</v>
      </c>
      <c r="E447" s="733">
        <f>E419*0.5</f>
        <v>464288.20345146797</v>
      </c>
      <c r="F447" s="734"/>
      <c r="G447" s="733">
        <f>G419*0.5</f>
        <v>453231.126529747</v>
      </c>
      <c r="H447" s="734"/>
      <c r="I447" s="733">
        <f>I419*0.5</f>
        <v>434808.28700146003</v>
      </c>
      <c r="J447" s="734"/>
      <c r="K447" s="733">
        <f>K419*0.5</f>
        <v>368481.4262024731</v>
      </c>
      <c r="L447" s="734"/>
      <c r="M447" s="733">
        <f>M419*0.5</f>
        <v>312279.90729451994</v>
      </c>
      <c r="N447" s="734"/>
    </row>
    <row r="448" spans="2:14" ht="15.75" hidden="1" thickBot="1">
      <c r="B448" s="671"/>
      <c r="C448" s="671"/>
      <c r="D448" s="731"/>
      <c r="E448" s="671"/>
      <c r="F448" s="692"/>
      <c r="G448" s="671"/>
      <c r="H448" s="692"/>
      <c r="I448" s="671"/>
      <c r="J448" s="692"/>
      <c r="K448" s="671"/>
      <c r="L448" s="692"/>
      <c r="M448" s="671"/>
      <c r="N448" s="692"/>
    </row>
    <row r="449" spans="2:14" ht="16.5" hidden="1" thickBot="1">
      <c r="B449" s="671"/>
      <c r="C449" s="671"/>
      <c r="D449" s="732" t="s">
        <v>22</v>
      </c>
      <c r="E449" s="671"/>
      <c r="F449" s="734"/>
      <c r="G449" s="671"/>
      <c r="H449" s="734"/>
      <c r="I449" s="671"/>
      <c r="J449" s="734"/>
      <c r="K449" s="671"/>
      <c r="L449" s="734"/>
      <c r="M449" s="671"/>
      <c r="N449" s="734"/>
    </row>
    <row r="450" spans="2:14" ht="15.75" hidden="1" thickBot="1">
      <c r="B450" s="678">
        <v>703</v>
      </c>
      <c r="C450" s="697">
        <v>0.0025</v>
      </c>
      <c r="D450" s="698" t="s">
        <v>316</v>
      </c>
      <c r="E450" s="699">
        <f>E447*0.0025</f>
        <v>1160.72050862867</v>
      </c>
      <c r="F450" s="700"/>
      <c r="G450" s="699">
        <f>G447*0.0025</f>
        <v>1133.0778163243674</v>
      </c>
      <c r="H450" s="700"/>
      <c r="I450" s="699">
        <f>I447*0.0025</f>
        <v>1087.02071750365</v>
      </c>
      <c r="J450" s="700"/>
      <c r="K450" s="699">
        <f>K447*0.0025</f>
        <v>921.2035655061828</v>
      </c>
      <c r="L450" s="700"/>
      <c r="M450" s="699">
        <f>M447*0.0025</f>
        <v>780.6997682362999</v>
      </c>
      <c r="N450" s="700"/>
    </row>
    <row r="451" spans="2:14" ht="15.75" hidden="1" thickBot="1">
      <c r="B451" s="671">
        <v>707</v>
      </c>
      <c r="C451" s="701">
        <v>0.03</v>
      </c>
      <c r="D451" s="678" t="s">
        <v>17</v>
      </c>
      <c r="E451" s="699">
        <f>E447*0.03</f>
        <v>13928.646103544039</v>
      </c>
      <c r="F451" s="674"/>
      <c r="G451" s="699">
        <f>G447*0.03</f>
        <v>13596.93379589241</v>
      </c>
      <c r="H451" s="674"/>
      <c r="I451" s="699">
        <f>I447*0.03</f>
        <v>13044.2486100438</v>
      </c>
      <c r="J451" s="674"/>
      <c r="K451" s="699">
        <f>K447*0.03</f>
        <v>11054.442786074193</v>
      </c>
      <c r="L451" s="674"/>
      <c r="M451" s="699">
        <f>M447*0.03</f>
        <v>9368.397218835598</v>
      </c>
      <c r="N451" s="674"/>
    </row>
    <row r="452" spans="2:14" ht="16.5" hidden="1" thickBot="1">
      <c r="B452" s="671">
        <v>709</v>
      </c>
      <c r="C452" s="702">
        <f>C399</f>
        <v>0.0015</v>
      </c>
      <c r="D452" s="678" t="s">
        <v>18</v>
      </c>
      <c r="E452" s="699">
        <f>E447*0.0015</f>
        <v>696.432305177202</v>
      </c>
      <c r="F452" s="674"/>
      <c r="G452" s="699">
        <f>G447*0.0015</f>
        <v>679.8466897946205</v>
      </c>
      <c r="H452" s="674"/>
      <c r="I452" s="699">
        <f>I447*0.0015</f>
        <v>652.21243050219</v>
      </c>
      <c r="J452" s="674"/>
      <c r="K452" s="699">
        <f>K447*0.0015</f>
        <v>552.7221393037097</v>
      </c>
      <c r="L452" s="674"/>
      <c r="M452" s="699">
        <f>M447*0.0015</f>
        <v>468.4198609417799</v>
      </c>
      <c r="N452" s="674"/>
    </row>
    <row r="453" spans="2:14" ht="15.75" hidden="1" thickBot="1">
      <c r="B453" s="671">
        <v>713</v>
      </c>
      <c r="C453" s="703">
        <v>0.007</v>
      </c>
      <c r="D453" s="678" t="s">
        <v>20</v>
      </c>
      <c r="E453" s="699">
        <f>E447*0.007</f>
        <v>3250.017424160276</v>
      </c>
      <c r="F453" s="674"/>
      <c r="G453" s="699">
        <f>G447*0.007</f>
        <v>3172.617885708229</v>
      </c>
      <c r="H453" s="674"/>
      <c r="I453" s="699">
        <f>I447*0.007</f>
        <v>3043.65800901022</v>
      </c>
      <c r="J453" s="674"/>
      <c r="K453" s="699">
        <f>K447*0.007</f>
        <v>2579.3699834173117</v>
      </c>
      <c r="L453" s="674"/>
      <c r="M453" s="699">
        <f>M447*0.007</f>
        <v>2185.9593510616396</v>
      </c>
      <c r="N453" s="674"/>
    </row>
    <row r="454" spans="2:14" ht="15.75" hidden="1" thickBot="1">
      <c r="B454" s="671">
        <v>787</v>
      </c>
      <c r="C454" s="701">
        <v>0.01</v>
      </c>
      <c r="D454" s="678" t="s">
        <v>387</v>
      </c>
      <c r="E454" s="699">
        <f>E447*0.01</f>
        <v>4642.88203451468</v>
      </c>
      <c r="F454" s="674"/>
      <c r="G454" s="699">
        <f>G447*0.01</f>
        <v>4532.31126529747</v>
      </c>
      <c r="H454" s="674"/>
      <c r="I454" s="699">
        <f>I447*0.01</f>
        <v>4348.0828700146</v>
      </c>
      <c r="J454" s="674"/>
      <c r="K454" s="699">
        <f>K447*0.01</f>
        <v>3684.8142620247313</v>
      </c>
      <c r="L454" s="674"/>
      <c r="M454" s="699">
        <f>M447*0.01</f>
        <v>3122.7990729451994</v>
      </c>
      <c r="N454" s="674"/>
    </row>
    <row r="455" spans="2:14" ht="16.5" hidden="1" thickBot="1">
      <c r="B455" s="671"/>
      <c r="C455" s="671"/>
      <c r="D455" s="705" t="s">
        <v>481</v>
      </c>
      <c r="E455" s="694">
        <f>SUM(E450:E454)</f>
        <v>23678.69837602487</v>
      </c>
      <c r="F455" s="696"/>
      <c r="G455" s="694">
        <f>SUM(G450:G454)</f>
        <v>23114.787453017096</v>
      </c>
      <c r="H455" s="696"/>
      <c r="I455" s="694">
        <f>SUM(I450:I454)</f>
        <v>22175.22263707446</v>
      </c>
      <c r="J455" s="696"/>
      <c r="K455" s="694">
        <f>SUM(K450:K454)</f>
        <v>18792.552736326128</v>
      </c>
      <c r="L455" s="696"/>
      <c r="M455" s="694">
        <f>SUM(M450:M454)</f>
        <v>15926.275272020517</v>
      </c>
      <c r="N455" s="696"/>
    </row>
    <row r="456" spans="2:14" ht="16.5" hidden="1" thickBot="1">
      <c r="B456" s="671"/>
      <c r="C456" s="671"/>
      <c r="D456" s="678"/>
      <c r="E456" s="707"/>
      <c r="F456" s="674"/>
      <c r="G456" s="707"/>
      <c r="H456" s="674"/>
      <c r="I456" s="707"/>
      <c r="J456" s="674"/>
      <c r="K456" s="707"/>
      <c r="L456" s="674"/>
      <c r="M456" s="707"/>
      <c r="N456" s="674"/>
    </row>
    <row r="457" spans="2:14" ht="21" hidden="1" thickBot="1">
      <c r="B457" s="671"/>
      <c r="C457" s="671"/>
      <c r="D457" s="709" t="s">
        <v>23</v>
      </c>
      <c r="E457" s="735">
        <f>E447-E455</f>
        <v>440609.50507544307</v>
      </c>
      <c r="F457" s="710"/>
      <c r="G457" s="735">
        <f>G447-G455</f>
        <v>430116.3390767299</v>
      </c>
      <c r="H457" s="710"/>
      <c r="I457" s="735">
        <f>I447-I455</f>
        <v>412633.06436438556</v>
      </c>
      <c r="J457" s="710"/>
      <c r="K457" s="735">
        <f>K447-K455</f>
        <v>349688.873466147</v>
      </c>
      <c r="L457" s="710"/>
      <c r="M457" s="735">
        <f>M447-M455</f>
        <v>296353.63202249946</v>
      </c>
      <c r="N457" s="710"/>
    </row>
    <row r="458" spans="6:14" ht="12.75" hidden="1">
      <c r="F458" s="336"/>
      <c r="H458" s="336"/>
      <c r="J458" s="336"/>
      <c r="L458" s="336"/>
      <c r="N458" s="336"/>
    </row>
    <row r="459" spans="2:14" ht="21.75" thickBot="1" thickTop="1">
      <c r="B459" s="670" t="s">
        <v>359</v>
      </c>
      <c r="D459" s="543"/>
      <c r="E459" s="901">
        <v>45383</v>
      </c>
      <c r="F459" s="902">
        <v>0.4668</v>
      </c>
      <c r="G459" s="901">
        <v>45352</v>
      </c>
      <c r="H459" s="902">
        <v>0.4514</v>
      </c>
      <c r="I459" s="901">
        <v>45323</v>
      </c>
      <c r="J459" s="902">
        <f>1.18*1.18-1</f>
        <v>0.39239999999999986</v>
      </c>
      <c r="K459" s="901">
        <v>45292</v>
      </c>
      <c r="L459" s="902">
        <v>0.18</v>
      </c>
      <c r="M459" s="901">
        <v>45261</v>
      </c>
      <c r="N459" s="902">
        <f>aumento10-1</f>
        <v>1.4117000000000002</v>
      </c>
    </row>
    <row r="460" spans="2:24" ht="16.5" thickTop="1">
      <c r="B460" s="331" t="s">
        <v>6</v>
      </c>
      <c r="C460" s="332"/>
      <c r="D460" s="539"/>
      <c r="E460" s="465"/>
      <c r="F460" s="465"/>
      <c r="G460" s="465"/>
      <c r="H460" s="465"/>
      <c r="I460" s="465"/>
      <c r="J460" s="465"/>
      <c r="K460" s="465"/>
      <c r="L460" s="465"/>
      <c r="M460" s="465"/>
      <c r="N460" s="465"/>
      <c r="O460" s="465"/>
      <c r="P460" s="465"/>
      <c r="Q460" s="465"/>
      <c r="R460" s="465"/>
      <c r="S460" s="465"/>
      <c r="T460" s="465"/>
      <c r="U460" s="465"/>
      <c r="V460" s="465"/>
      <c r="W460" s="465"/>
      <c r="X460" s="465"/>
    </row>
    <row r="461" spans="2:20" ht="15.75">
      <c r="B461" s="333" t="s">
        <v>7</v>
      </c>
      <c r="C461" s="334"/>
      <c r="D461" s="540"/>
      <c r="E461" s="465"/>
      <c r="F461" s="465"/>
      <c r="G461" s="465"/>
      <c r="H461" s="465"/>
      <c r="I461" s="465"/>
      <c r="J461" s="465"/>
      <c r="K461" s="465"/>
      <c r="L461" s="465"/>
      <c r="M461" s="465"/>
      <c r="N461" s="465"/>
      <c r="O461" s="465"/>
      <c r="P461" s="465"/>
      <c r="Q461" s="465"/>
      <c r="R461" s="465"/>
      <c r="S461" s="465"/>
      <c r="T461" s="465"/>
    </row>
    <row r="462" spans="2:20" ht="15.75">
      <c r="B462" s="333" t="s">
        <v>495</v>
      </c>
      <c r="C462" s="334"/>
      <c r="D462" s="540"/>
      <c r="E462" s="465"/>
      <c r="F462" s="465"/>
      <c r="G462" s="465"/>
      <c r="H462" s="465"/>
      <c r="I462" s="465"/>
      <c r="J462" s="465"/>
      <c r="K462" s="465"/>
      <c r="L462" s="465"/>
      <c r="M462" s="465"/>
      <c r="N462" s="465"/>
      <c r="O462" s="465"/>
      <c r="P462" s="465"/>
      <c r="Q462" s="465"/>
      <c r="R462" s="465"/>
      <c r="S462" s="465"/>
      <c r="T462" s="465"/>
    </row>
    <row r="463" spans="2:20" ht="15.75">
      <c r="B463" s="335" t="s">
        <v>326</v>
      </c>
      <c r="C463" s="334"/>
      <c r="D463" s="540"/>
      <c r="E463" s="465"/>
      <c r="F463" s="465"/>
      <c r="G463" s="465"/>
      <c r="H463" s="465"/>
      <c r="I463" s="465"/>
      <c r="J463" s="465"/>
      <c r="K463" s="465"/>
      <c r="L463" s="465"/>
      <c r="M463" s="465"/>
      <c r="N463" s="465"/>
      <c r="O463" s="465"/>
      <c r="P463" s="465"/>
      <c r="Q463" s="465"/>
      <c r="R463" s="465"/>
      <c r="S463" s="465"/>
      <c r="T463" s="465"/>
    </row>
    <row r="464" spans="2:20" ht="15.75" thickBot="1">
      <c r="B464" s="330"/>
      <c r="C464" s="249"/>
      <c r="D464" s="541"/>
      <c r="E464" s="466"/>
      <c r="F464" s="466"/>
      <c r="G464" s="466"/>
      <c r="H464" s="466"/>
      <c r="I464" s="466"/>
      <c r="J464" s="466"/>
      <c r="K464" s="466"/>
      <c r="L464" s="466"/>
      <c r="M464" s="466"/>
      <c r="N464" s="466"/>
      <c r="O464" s="466"/>
      <c r="P464" s="466"/>
      <c r="Q464" s="466"/>
      <c r="R464" s="466"/>
      <c r="S464" s="466"/>
      <c r="T464" s="466"/>
    </row>
    <row r="465" spans="2:4" ht="13.5" thickTop="1">
      <c r="B465" s="47"/>
      <c r="C465" s="47"/>
      <c r="D465" s="492"/>
    </row>
  </sheetData>
  <sheetProtection password="DFB3" sheet="1" selectLockedCells="1"/>
  <hyperlinks>
    <hyperlink ref="D18" location="cargosingreso" display="cargos de ingreso"/>
    <hyperlink ref="D19" location="horasmedia" display="horas nivel medio"/>
    <hyperlink ref="D20" location="horassuperior" display="horas nivel superior"/>
    <hyperlink ref="D21" location="Cargos!A1" display="Cargos"/>
    <hyperlink ref="B463" r:id="rId1" display="www.agmeruruguay.com.ar"/>
    <hyperlink ref="B462" r:id="rId2" display="huttvictor@gmail.com"/>
  </hyperlinks>
  <printOptions/>
  <pageMargins left="0.75" right="0.75" top="1" bottom="1" header="0" footer="0"/>
  <pageSetup horizontalDpi="1200" verticalDpi="12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Y338"/>
  <sheetViews>
    <sheetView zoomScalePageLayoutView="0" workbookViewId="0" topLeftCell="A1">
      <pane xSplit="1" ySplit="2" topLeftCell="C11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2" max="2" width="64.57421875" style="0" bestFit="1" customWidth="1"/>
    <col min="4" max="4" width="15.8515625" style="0" hidden="1" customWidth="1"/>
    <col min="5" max="5" width="19.57421875" style="0" hidden="1" customWidth="1"/>
    <col min="6" max="6" width="22.7109375" style="347" hidden="1" customWidth="1"/>
    <col min="7" max="8" width="21.140625" style="347" hidden="1" customWidth="1"/>
    <col min="9" max="9" width="12.00390625" style="0" hidden="1" customWidth="1"/>
    <col min="10" max="10" width="12.00390625" style="0" customWidth="1"/>
    <col min="11" max="11" width="21.57421875" style="353" hidden="1" customWidth="1"/>
    <col min="12" max="12" width="0" style="0" hidden="1" customWidth="1"/>
    <col min="13" max="13" width="11.140625" style="353" hidden="1" customWidth="1"/>
    <col min="14" max="15" width="11.8515625" style="353" customWidth="1"/>
    <col min="16" max="16" width="11.421875" style="0" customWidth="1"/>
    <col min="22" max="22" width="12.28125" style="0" bestFit="1" customWidth="1"/>
  </cols>
  <sheetData>
    <row r="1" spans="1:20" ht="13.5" thickBot="1">
      <c r="A1" s="18"/>
      <c r="B1" s="355" t="s">
        <v>405</v>
      </c>
      <c r="C1" s="19"/>
      <c r="D1" s="340"/>
      <c r="E1" s="345" t="s">
        <v>393</v>
      </c>
      <c r="F1" s="345"/>
      <c r="G1" s="345"/>
      <c r="H1" s="345"/>
      <c r="I1" s="345"/>
      <c r="J1" s="345"/>
      <c r="K1" s="348"/>
      <c r="L1" s="348"/>
      <c r="M1" s="348"/>
      <c r="N1" s="348"/>
      <c r="O1" s="348"/>
      <c r="P1" s="345"/>
      <c r="Q1" s="20" t="s">
        <v>27</v>
      </c>
      <c r="R1" s="21" t="s">
        <v>28</v>
      </c>
      <c r="S1" s="21" t="s">
        <v>29</v>
      </c>
      <c r="T1" s="356" t="s">
        <v>394</v>
      </c>
    </row>
    <row r="2" spans="1:20" ht="12.75">
      <c r="A2" s="22" t="s">
        <v>30</v>
      </c>
      <c r="B2" s="23" t="s">
        <v>31</v>
      </c>
      <c r="C2" s="22" t="s">
        <v>32</v>
      </c>
      <c r="D2" s="154" t="s">
        <v>395</v>
      </c>
      <c r="E2" s="154" t="s">
        <v>346</v>
      </c>
      <c r="F2" s="346" t="s">
        <v>388</v>
      </c>
      <c r="G2" s="346" t="s">
        <v>404</v>
      </c>
      <c r="H2" s="346" t="s">
        <v>449</v>
      </c>
      <c r="I2" s="154" t="s">
        <v>396</v>
      </c>
      <c r="J2" s="446" t="s">
        <v>473</v>
      </c>
      <c r="K2" s="349" t="s">
        <v>397</v>
      </c>
      <c r="L2" s="349" t="s">
        <v>406</v>
      </c>
      <c r="M2" s="349" t="s">
        <v>402</v>
      </c>
      <c r="N2" s="349" t="s">
        <v>471</v>
      </c>
      <c r="O2" s="798" t="s">
        <v>503</v>
      </c>
      <c r="P2" s="154" t="s">
        <v>407</v>
      </c>
      <c r="Q2" s="24" t="s">
        <v>33</v>
      </c>
      <c r="R2" s="24" t="s">
        <v>34</v>
      </c>
      <c r="S2" s="24" t="s">
        <v>35</v>
      </c>
      <c r="T2" s="357" t="s">
        <v>398</v>
      </c>
    </row>
    <row r="3" spans="1:20" ht="12.75">
      <c r="A3" s="25">
        <v>461</v>
      </c>
      <c r="B3" s="26" t="s">
        <v>408</v>
      </c>
      <c r="C3" s="25">
        <v>2220</v>
      </c>
      <c r="D3" s="155"/>
      <c r="E3" s="155"/>
      <c r="F3" s="283"/>
      <c r="G3" s="283">
        <v>7</v>
      </c>
      <c r="H3" s="283">
        <v>7</v>
      </c>
      <c r="I3" s="380"/>
      <c r="J3" s="380">
        <v>7</v>
      </c>
      <c r="K3" s="350"/>
      <c r="L3" s="350"/>
      <c r="M3" s="350">
        <v>521.4</v>
      </c>
      <c r="N3" s="445">
        <f>M3</f>
        <v>521.4</v>
      </c>
      <c r="O3" s="789">
        <f aca="true" t="shared" si="0" ref="O3:O66">N3</f>
        <v>521.4</v>
      </c>
      <c r="P3" s="358">
        <f aca="true" t="shared" si="1" ref="P3:P66">C3+G3+M3</f>
        <v>2748.4</v>
      </c>
      <c r="Q3" s="27">
        <v>0</v>
      </c>
      <c r="R3" s="25">
        <v>0</v>
      </c>
      <c r="S3" s="25">
        <v>0</v>
      </c>
      <c r="T3" s="359"/>
    </row>
    <row r="4" spans="1:20" ht="12.75">
      <c r="A4" s="25">
        <v>462</v>
      </c>
      <c r="B4" s="26" t="s">
        <v>408</v>
      </c>
      <c r="C4" s="25">
        <v>2220</v>
      </c>
      <c r="D4" s="155"/>
      <c r="E4" s="155"/>
      <c r="F4" s="283"/>
      <c r="G4" s="283">
        <v>7</v>
      </c>
      <c r="H4" s="283">
        <v>7</v>
      </c>
      <c r="I4" s="380"/>
      <c r="J4" s="380">
        <v>7</v>
      </c>
      <c r="K4" s="350"/>
      <c r="L4" s="350"/>
      <c r="M4" s="350">
        <v>521.4</v>
      </c>
      <c r="N4" s="445">
        <f aca="true" t="shared" si="2" ref="N4:O67">M4</f>
        <v>521.4</v>
      </c>
      <c r="O4" s="789">
        <f t="shared" si="0"/>
        <v>521.4</v>
      </c>
      <c r="P4" s="358">
        <f t="shared" si="1"/>
        <v>2748.4</v>
      </c>
      <c r="Q4" s="27">
        <v>0</v>
      </c>
      <c r="R4" s="25">
        <v>0</v>
      </c>
      <c r="S4" s="25">
        <v>0</v>
      </c>
      <c r="T4" s="359"/>
    </row>
    <row r="5" spans="1:20" ht="12.75">
      <c r="A5" s="25">
        <v>470</v>
      </c>
      <c r="B5" s="26" t="s">
        <v>409</v>
      </c>
      <c r="C5" s="25">
        <v>1580</v>
      </c>
      <c r="D5" s="155"/>
      <c r="E5" s="155"/>
      <c r="F5" s="283"/>
      <c r="G5" s="283">
        <v>90</v>
      </c>
      <c r="H5" s="283">
        <v>90</v>
      </c>
      <c r="I5" s="380"/>
      <c r="J5" s="380">
        <v>90</v>
      </c>
      <c r="K5" s="350"/>
      <c r="L5" s="350"/>
      <c r="M5" s="350">
        <v>347.6</v>
      </c>
      <c r="N5" s="445">
        <f t="shared" si="2"/>
        <v>347.6</v>
      </c>
      <c r="O5" s="789">
        <f t="shared" si="0"/>
        <v>347.6</v>
      </c>
      <c r="P5" s="358">
        <f t="shared" si="1"/>
        <v>2017.6</v>
      </c>
      <c r="Q5" s="27">
        <v>0</v>
      </c>
      <c r="R5" s="25">
        <v>0</v>
      </c>
      <c r="S5" s="25">
        <v>0</v>
      </c>
      <c r="T5" s="359"/>
    </row>
    <row r="6" spans="1:20" ht="12.75">
      <c r="A6" s="25">
        <v>600</v>
      </c>
      <c r="B6" s="26" t="s">
        <v>36</v>
      </c>
      <c r="C6" s="25">
        <v>1300</v>
      </c>
      <c r="D6" s="155">
        <v>127</v>
      </c>
      <c r="E6" s="155">
        <v>127</v>
      </c>
      <c r="F6" s="283">
        <v>127</v>
      </c>
      <c r="G6" s="283">
        <v>127</v>
      </c>
      <c r="H6" s="283">
        <v>127</v>
      </c>
      <c r="I6" s="380">
        <f aca="true" t="shared" si="3" ref="I6:I69">A6</f>
        <v>600</v>
      </c>
      <c r="J6" s="380">
        <v>127</v>
      </c>
      <c r="K6" s="350">
        <v>0</v>
      </c>
      <c r="L6" s="350">
        <v>0</v>
      </c>
      <c r="M6" s="350">
        <v>0</v>
      </c>
      <c r="N6" s="445">
        <f t="shared" si="2"/>
        <v>0</v>
      </c>
      <c r="O6" s="789">
        <f t="shared" si="0"/>
        <v>0</v>
      </c>
      <c r="P6" s="358">
        <f t="shared" si="1"/>
        <v>1427</v>
      </c>
      <c r="Q6" s="27">
        <v>0</v>
      </c>
      <c r="R6" s="25">
        <v>0</v>
      </c>
      <c r="S6" s="25">
        <v>0</v>
      </c>
      <c r="T6" s="359"/>
    </row>
    <row r="7" spans="1:20" ht="12.75">
      <c r="A7" s="25">
        <v>603</v>
      </c>
      <c r="B7" s="26" t="s">
        <v>37</v>
      </c>
      <c r="C7" s="25">
        <v>3146</v>
      </c>
      <c r="D7" s="155">
        <v>0</v>
      </c>
      <c r="E7" s="155">
        <v>0</v>
      </c>
      <c r="F7" s="283">
        <v>0</v>
      </c>
      <c r="G7" s="283">
        <v>0</v>
      </c>
      <c r="H7" s="283">
        <v>0</v>
      </c>
      <c r="I7" s="380">
        <f t="shared" si="3"/>
        <v>603</v>
      </c>
      <c r="J7" s="380">
        <v>0</v>
      </c>
      <c r="K7" s="350">
        <v>0</v>
      </c>
      <c r="L7" s="350">
        <v>0</v>
      </c>
      <c r="M7" s="350">
        <v>0</v>
      </c>
      <c r="N7" s="445">
        <f t="shared" si="2"/>
        <v>0</v>
      </c>
      <c r="O7" s="789">
        <f t="shared" si="0"/>
        <v>0</v>
      </c>
      <c r="P7" s="358">
        <f t="shared" si="1"/>
        <v>3146</v>
      </c>
      <c r="Q7" s="27">
        <v>0</v>
      </c>
      <c r="R7" s="25">
        <v>0</v>
      </c>
      <c r="S7" s="25">
        <v>0</v>
      </c>
      <c r="T7" s="359"/>
    </row>
    <row r="8" spans="1:20" ht="12.75">
      <c r="A8" s="25">
        <v>604</v>
      </c>
      <c r="B8" s="26" t="s">
        <v>370</v>
      </c>
      <c r="C8" s="25">
        <v>1610</v>
      </c>
      <c r="D8" s="155">
        <v>87</v>
      </c>
      <c r="E8" s="155">
        <v>87</v>
      </c>
      <c r="F8" s="283">
        <v>87</v>
      </c>
      <c r="G8" s="283">
        <v>87</v>
      </c>
      <c r="H8" s="283">
        <v>87</v>
      </c>
      <c r="I8" s="380">
        <f t="shared" si="3"/>
        <v>604</v>
      </c>
      <c r="J8" s="380">
        <v>87</v>
      </c>
      <c r="K8" s="350">
        <v>388.2</v>
      </c>
      <c r="L8" s="350">
        <v>388.2</v>
      </c>
      <c r="M8" s="350">
        <v>388.2</v>
      </c>
      <c r="N8" s="445">
        <f t="shared" si="2"/>
        <v>388.2</v>
      </c>
      <c r="O8" s="789">
        <f t="shared" si="0"/>
        <v>388.2</v>
      </c>
      <c r="P8" s="358">
        <f t="shared" si="1"/>
        <v>2085.2</v>
      </c>
      <c r="Q8" s="27">
        <v>0</v>
      </c>
      <c r="R8" s="25">
        <v>0</v>
      </c>
      <c r="S8" s="25">
        <v>0</v>
      </c>
      <c r="T8" s="359"/>
    </row>
    <row r="9" spans="1:22" ht="12.75">
      <c r="A9" s="25">
        <v>605</v>
      </c>
      <c r="B9" s="26" t="s">
        <v>38</v>
      </c>
      <c r="C9" s="25">
        <v>2913</v>
      </c>
      <c r="D9" s="155">
        <v>0</v>
      </c>
      <c r="E9" s="155">
        <v>0</v>
      </c>
      <c r="F9" s="283">
        <v>0</v>
      </c>
      <c r="G9" s="283">
        <v>0</v>
      </c>
      <c r="H9" s="283">
        <v>0</v>
      </c>
      <c r="I9" s="380">
        <f t="shared" si="3"/>
        <v>605</v>
      </c>
      <c r="J9" s="380">
        <v>0</v>
      </c>
      <c r="K9" s="350">
        <v>776</v>
      </c>
      <c r="L9" s="350">
        <v>776</v>
      </c>
      <c r="M9" s="350">
        <v>776</v>
      </c>
      <c r="N9" s="445">
        <f t="shared" si="2"/>
        <v>776</v>
      </c>
      <c r="O9" s="789">
        <f t="shared" si="0"/>
        <v>776</v>
      </c>
      <c r="P9" s="358">
        <f t="shared" si="1"/>
        <v>3689</v>
      </c>
      <c r="Q9" s="27">
        <v>0</v>
      </c>
      <c r="R9" s="25">
        <v>0</v>
      </c>
      <c r="S9" s="25">
        <v>0</v>
      </c>
      <c r="T9" s="359"/>
      <c r="V9">
        <v>233</v>
      </c>
    </row>
    <row r="10" spans="1:20" ht="12.75">
      <c r="A10" s="25">
        <v>606</v>
      </c>
      <c r="B10" s="26" t="s">
        <v>39</v>
      </c>
      <c r="C10" s="25">
        <v>2913</v>
      </c>
      <c r="D10" s="155">
        <v>0</v>
      </c>
      <c r="E10" s="155">
        <v>0</v>
      </c>
      <c r="F10" s="283">
        <v>0</v>
      </c>
      <c r="G10" s="283">
        <v>0</v>
      </c>
      <c r="H10" s="283">
        <v>0</v>
      </c>
      <c r="I10" s="380">
        <f t="shared" si="3"/>
        <v>606</v>
      </c>
      <c r="J10" s="380">
        <v>0</v>
      </c>
      <c r="K10" s="350">
        <v>0</v>
      </c>
      <c r="L10" s="350">
        <v>0</v>
      </c>
      <c r="M10" s="350">
        <v>0</v>
      </c>
      <c r="N10" s="445">
        <f t="shared" si="2"/>
        <v>0</v>
      </c>
      <c r="O10" s="789">
        <f t="shared" si="0"/>
        <v>0</v>
      </c>
      <c r="P10" s="358">
        <f t="shared" si="1"/>
        <v>2913</v>
      </c>
      <c r="Q10" s="27">
        <v>0</v>
      </c>
      <c r="R10" s="25">
        <v>0</v>
      </c>
      <c r="S10" s="25">
        <v>0</v>
      </c>
      <c r="T10" s="359"/>
    </row>
    <row r="11" spans="1:20" ht="12.75">
      <c r="A11" s="25">
        <v>608</v>
      </c>
      <c r="B11" s="26" t="s">
        <v>40</v>
      </c>
      <c r="C11" s="25">
        <v>2913</v>
      </c>
      <c r="D11" s="155">
        <v>0</v>
      </c>
      <c r="E11" s="155">
        <v>0</v>
      </c>
      <c r="F11" s="283">
        <v>0</v>
      </c>
      <c r="G11" s="283">
        <v>0</v>
      </c>
      <c r="H11" s="283">
        <v>0</v>
      </c>
      <c r="I11" s="380">
        <f t="shared" si="3"/>
        <v>608</v>
      </c>
      <c r="J11" s="380">
        <v>0</v>
      </c>
      <c r="K11" s="350">
        <v>0</v>
      </c>
      <c r="L11" s="350">
        <v>0</v>
      </c>
      <c r="M11" s="350">
        <v>0</v>
      </c>
      <c r="N11" s="445">
        <f t="shared" si="2"/>
        <v>0</v>
      </c>
      <c r="O11" s="789">
        <f t="shared" si="0"/>
        <v>0</v>
      </c>
      <c r="P11" s="358">
        <f t="shared" si="1"/>
        <v>2913</v>
      </c>
      <c r="Q11" s="27">
        <v>0</v>
      </c>
      <c r="R11" s="25">
        <v>0</v>
      </c>
      <c r="S11" s="25">
        <v>0</v>
      </c>
      <c r="T11" s="359"/>
    </row>
    <row r="12" spans="1:22" ht="12.75">
      <c r="A12" s="25">
        <v>609</v>
      </c>
      <c r="B12" s="26" t="s">
        <v>41</v>
      </c>
      <c r="C12" s="25">
        <v>2000</v>
      </c>
      <c r="D12" s="155">
        <v>36</v>
      </c>
      <c r="E12" s="155">
        <v>36</v>
      </c>
      <c r="F12" s="283">
        <v>36</v>
      </c>
      <c r="G12" s="283">
        <v>36</v>
      </c>
      <c r="H12" s="283">
        <v>36</v>
      </c>
      <c r="I12" s="380">
        <f t="shared" si="3"/>
        <v>609</v>
      </c>
      <c r="J12" s="380">
        <v>36</v>
      </c>
      <c r="K12" s="350">
        <v>647</v>
      </c>
      <c r="L12" s="350">
        <v>647</v>
      </c>
      <c r="M12" s="350">
        <v>647</v>
      </c>
      <c r="N12" s="445">
        <f t="shared" si="2"/>
        <v>647</v>
      </c>
      <c r="O12" s="789">
        <f t="shared" si="0"/>
        <v>647</v>
      </c>
      <c r="P12" s="358">
        <f t="shared" si="1"/>
        <v>2683</v>
      </c>
      <c r="Q12" s="27">
        <v>0</v>
      </c>
      <c r="R12" s="25">
        <v>0</v>
      </c>
      <c r="S12" s="25">
        <v>0</v>
      </c>
      <c r="T12" s="359"/>
      <c r="V12">
        <f>452.9*0.3</f>
        <v>135.86999999999998</v>
      </c>
    </row>
    <row r="13" spans="1:22" ht="12.75">
      <c r="A13" s="25">
        <v>611</v>
      </c>
      <c r="B13" s="26" t="s">
        <v>42</v>
      </c>
      <c r="C13" s="25">
        <v>1840</v>
      </c>
      <c r="D13" s="155">
        <v>57</v>
      </c>
      <c r="E13" s="155">
        <v>57</v>
      </c>
      <c r="F13" s="283">
        <v>57</v>
      </c>
      <c r="G13" s="283">
        <v>57</v>
      </c>
      <c r="H13" s="283">
        <v>57</v>
      </c>
      <c r="I13" s="380">
        <f t="shared" si="3"/>
        <v>611</v>
      </c>
      <c r="J13" s="380">
        <v>57</v>
      </c>
      <c r="K13" s="350">
        <v>582.3</v>
      </c>
      <c r="L13" s="350">
        <v>582.3</v>
      </c>
      <c r="M13" s="350">
        <v>582.3</v>
      </c>
      <c r="N13" s="445">
        <f t="shared" si="2"/>
        <v>582.3</v>
      </c>
      <c r="O13" s="789">
        <f t="shared" si="0"/>
        <v>582.3</v>
      </c>
      <c r="P13" s="358">
        <f t="shared" si="1"/>
        <v>2479.3</v>
      </c>
      <c r="Q13" s="27">
        <v>0</v>
      </c>
      <c r="R13" s="25">
        <v>0</v>
      </c>
      <c r="S13" s="25">
        <v>0</v>
      </c>
      <c r="T13" s="359"/>
      <c r="V13" s="352">
        <v>136</v>
      </c>
    </row>
    <row r="14" spans="1:20" ht="12.75">
      <c r="A14" s="25">
        <v>612</v>
      </c>
      <c r="B14" s="26" t="s">
        <v>43</v>
      </c>
      <c r="C14" s="25">
        <v>1690</v>
      </c>
      <c r="D14" s="155">
        <v>76</v>
      </c>
      <c r="E14" s="155">
        <v>76</v>
      </c>
      <c r="F14" s="283">
        <v>76</v>
      </c>
      <c r="G14" s="283">
        <v>76</v>
      </c>
      <c r="H14" s="283">
        <v>76</v>
      </c>
      <c r="I14" s="380">
        <f t="shared" si="3"/>
        <v>612</v>
      </c>
      <c r="J14" s="380">
        <v>76</v>
      </c>
      <c r="K14" s="350">
        <v>452.9</v>
      </c>
      <c r="L14" s="350">
        <v>452.9</v>
      </c>
      <c r="M14" s="350">
        <v>452.9</v>
      </c>
      <c r="N14" s="445">
        <f t="shared" si="2"/>
        <v>452.9</v>
      </c>
      <c r="O14" s="789">
        <f t="shared" si="0"/>
        <v>452.9</v>
      </c>
      <c r="P14" s="358">
        <f t="shared" si="1"/>
        <v>2218.9</v>
      </c>
      <c r="Q14" s="27">
        <v>0</v>
      </c>
      <c r="R14" s="25">
        <v>0</v>
      </c>
      <c r="S14" s="25">
        <v>0</v>
      </c>
      <c r="T14" s="359"/>
    </row>
    <row r="15" spans="1:20" ht="12.75">
      <c r="A15" s="25">
        <v>613</v>
      </c>
      <c r="B15" s="26" t="s">
        <v>44</v>
      </c>
      <c r="C15" s="25">
        <v>1680</v>
      </c>
      <c r="D15" s="155">
        <v>77</v>
      </c>
      <c r="E15" s="155">
        <v>77</v>
      </c>
      <c r="F15" s="283">
        <v>77</v>
      </c>
      <c r="G15" s="283">
        <v>77</v>
      </c>
      <c r="H15" s="283">
        <v>77</v>
      </c>
      <c r="I15" s="380">
        <f t="shared" si="3"/>
        <v>613</v>
      </c>
      <c r="J15" s="380">
        <v>77</v>
      </c>
      <c r="K15" s="350">
        <v>452.9</v>
      </c>
      <c r="L15" s="350">
        <v>452.9</v>
      </c>
      <c r="M15" s="350">
        <v>452.9</v>
      </c>
      <c r="N15" s="445">
        <f t="shared" si="2"/>
        <v>452.9</v>
      </c>
      <c r="O15" s="789">
        <f t="shared" si="0"/>
        <v>452.9</v>
      </c>
      <c r="P15" s="358">
        <f t="shared" si="1"/>
        <v>2209.9</v>
      </c>
      <c r="Q15" s="27">
        <v>0</v>
      </c>
      <c r="R15" s="25">
        <v>0</v>
      </c>
      <c r="S15" s="25">
        <v>0</v>
      </c>
      <c r="T15" s="359"/>
    </row>
    <row r="16" spans="1:25" ht="12.75">
      <c r="A16" s="25">
        <v>614</v>
      </c>
      <c r="B16" s="26" t="s">
        <v>45</v>
      </c>
      <c r="C16" s="25">
        <v>1740</v>
      </c>
      <c r="D16" s="155">
        <v>70</v>
      </c>
      <c r="E16" s="155">
        <v>70</v>
      </c>
      <c r="F16" s="283">
        <v>70</v>
      </c>
      <c r="G16" s="283">
        <v>70</v>
      </c>
      <c r="H16" s="283">
        <v>70</v>
      </c>
      <c r="I16" s="380">
        <f t="shared" si="3"/>
        <v>614</v>
      </c>
      <c r="J16" s="380">
        <v>70</v>
      </c>
      <c r="K16" s="350">
        <v>517.6</v>
      </c>
      <c r="L16" s="350">
        <v>517.6</v>
      </c>
      <c r="M16" s="350">
        <v>517.6</v>
      </c>
      <c r="N16" s="445">
        <f t="shared" si="2"/>
        <v>517.6</v>
      </c>
      <c r="O16" s="789">
        <f t="shared" si="0"/>
        <v>517.6</v>
      </c>
      <c r="P16" s="358">
        <f t="shared" si="1"/>
        <v>2327.6</v>
      </c>
      <c r="Q16" s="27">
        <v>0</v>
      </c>
      <c r="R16" s="25">
        <v>0</v>
      </c>
      <c r="S16" s="25">
        <v>0</v>
      </c>
      <c r="T16" s="359"/>
      <c r="V16" t="s">
        <v>410</v>
      </c>
      <c r="W16">
        <v>776</v>
      </c>
      <c r="X16">
        <f aca="true" t="shared" si="4" ref="X16:X25">0.3*W16</f>
        <v>232.79999999999998</v>
      </c>
      <c r="Y16">
        <v>233</v>
      </c>
    </row>
    <row r="17" spans="1:25" ht="12.75">
      <c r="A17" s="25">
        <v>615</v>
      </c>
      <c r="B17" s="26" t="s">
        <v>46</v>
      </c>
      <c r="C17" s="25">
        <v>1610</v>
      </c>
      <c r="D17" s="155">
        <v>87</v>
      </c>
      <c r="E17" s="155">
        <v>87</v>
      </c>
      <c r="F17" s="283">
        <v>87</v>
      </c>
      <c r="G17" s="283">
        <v>87</v>
      </c>
      <c r="H17" s="283">
        <v>87</v>
      </c>
      <c r="I17" s="380">
        <f t="shared" si="3"/>
        <v>615</v>
      </c>
      <c r="J17" s="380">
        <v>87</v>
      </c>
      <c r="K17" s="350">
        <v>388.2</v>
      </c>
      <c r="L17" s="350">
        <v>388.2</v>
      </c>
      <c r="M17" s="350">
        <v>388.2</v>
      </c>
      <c r="N17" s="445">
        <f t="shared" si="2"/>
        <v>388.2</v>
      </c>
      <c r="O17" s="789">
        <f t="shared" si="0"/>
        <v>388.2</v>
      </c>
      <c r="P17" s="358">
        <f t="shared" si="1"/>
        <v>2085.2</v>
      </c>
      <c r="Q17" s="27">
        <v>0</v>
      </c>
      <c r="R17" s="25">
        <v>0</v>
      </c>
      <c r="S17" s="25">
        <v>0</v>
      </c>
      <c r="T17" s="359"/>
      <c r="V17" t="s">
        <v>411</v>
      </c>
      <c r="W17">
        <v>647</v>
      </c>
      <c r="X17">
        <f t="shared" si="4"/>
        <v>194.1</v>
      </c>
      <c r="Y17">
        <v>194</v>
      </c>
    </row>
    <row r="18" spans="1:25" ht="12.75">
      <c r="A18" s="25">
        <v>616</v>
      </c>
      <c r="B18" s="26" t="s">
        <v>47</v>
      </c>
      <c r="C18" s="25">
        <v>1740</v>
      </c>
      <c r="D18" s="155">
        <v>70</v>
      </c>
      <c r="E18" s="155">
        <v>70</v>
      </c>
      <c r="F18" s="283">
        <v>70</v>
      </c>
      <c r="G18" s="283">
        <v>70</v>
      </c>
      <c r="H18" s="283">
        <v>70</v>
      </c>
      <c r="I18" s="380">
        <f t="shared" si="3"/>
        <v>616</v>
      </c>
      <c r="J18" s="380">
        <v>70</v>
      </c>
      <c r="K18" s="350">
        <v>0</v>
      </c>
      <c r="L18" s="350">
        <v>0</v>
      </c>
      <c r="M18" s="350">
        <v>0</v>
      </c>
      <c r="N18" s="445">
        <f t="shared" si="2"/>
        <v>0</v>
      </c>
      <c r="O18" s="789">
        <f t="shared" si="0"/>
        <v>0</v>
      </c>
      <c r="P18" s="358">
        <f t="shared" si="1"/>
        <v>1810</v>
      </c>
      <c r="Q18" s="27">
        <v>0</v>
      </c>
      <c r="R18" s="25">
        <v>0</v>
      </c>
      <c r="S18" s="25">
        <v>0</v>
      </c>
      <c r="T18" s="359"/>
      <c r="V18" t="s">
        <v>412</v>
      </c>
      <c r="W18">
        <v>582.3</v>
      </c>
      <c r="X18">
        <f t="shared" si="4"/>
        <v>174.68999999999997</v>
      </c>
      <c r="Y18">
        <v>175</v>
      </c>
    </row>
    <row r="19" spans="1:25" ht="12.75">
      <c r="A19" s="25">
        <v>617</v>
      </c>
      <c r="B19" s="26" t="s">
        <v>48</v>
      </c>
      <c r="C19" s="25">
        <v>1610</v>
      </c>
      <c r="D19" s="155">
        <v>87</v>
      </c>
      <c r="E19" s="155">
        <v>87</v>
      </c>
      <c r="F19" s="283">
        <v>87</v>
      </c>
      <c r="G19" s="283">
        <v>87</v>
      </c>
      <c r="H19" s="283">
        <v>87</v>
      </c>
      <c r="I19" s="380">
        <f t="shared" si="3"/>
        <v>617</v>
      </c>
      <c r="J19" s="380">
        <v>87</v>
      </c>
      <c r="K19" s="350">
        <v>0</v>
      </c>
      <c r="L19" s="350">
        <v>0</v>
      </c>
      <c r="M19" s="350">
        <v>0</v>
      </c>
      <c r="N19" s="445">
        <f t="shared" si="2"/>
        <v>0</v>
      </c>
      <c r="O19" s="789">
        <f t="shared" si="0"/>
        <v>0</v>
      </c>
      <c r="P19" s="358">
        <f t="shared" si="1"/>
        <v>1697</v>
      </c>
      <c r="Q19" s="27">
        <v>0</v>
      </c>
      <c r="R19" s="25">
        <v>0</v>
      </c>
      <c r="S19" s="25">
        <v>0</v>
      </c>
      <c r="T19" s="359"/>
      <c r="V19" t="s">
        <v>413</v>
      </c>
      <c r="W19">
        <v>452.9</v>
      </c>
      <c r="X19">
        <f t="shared" si="4"/>
        <v>135.86999999999998</v>
      </c>
      <c r="Y19">
        <v>136</v>
      </c>
    </row>
    <row r="20" spans="1:24" ht="12.75">
      <c r="A20" s="25">
        <v>618</v>
      </c>
      <c r="B20" s="26" t="s">
        <v>49</v>
      </c>
      <c r="C20" s="25">
        <v>1500</v>
      </c>
      <c r="D20" s="155">
        <v>101</v>
      </c>
      <c r="E20" s="155">
        <v>101</v>
      </c>
      <c r="F20" s="283">
        <v>101</v>
      </c>
      <c r="G20" s="283">
        <v>101</v>
      </c>
      <c r="H20" s="283">
        <v>101</v>
      </c>
      <c r="I20" s="380">
        <f t="shared" si="3"/>
        <v>618</v>
      </c>
      <c r="J20" s="380">
        <v>101</v>
      </c>
      <c r="K20" s="350">
        <v>0</v>
      </c>
      <c r="L20" s="350">
        <v>0</v>
      </c>
      <c r="M20" s="350">
        <v>0</v>
      </c>
      <c r="N20" s="445">
        <f t="shared" si="2"/>
        <v>0</v>
      </c>
      <c r="O20" s="789">
        <f t="shared" si="0"/>
        <v>0</v>
      </c>
      <c r="P20" s="358">
        <f t="shared" si="1"/>
        <v>1601</v>
      </c>
      <c r="Q20" s="27">
        <v>0</v>
      </c>
      <c r="R20" s="25">
        <v>0</v>
      </c>
      <c r="S20" s="25">
        <v>0</v>
      </c>
      <c r="T20" s="359"/>
      <c r="V20" t="s">
        <v>414</v>
      </c>
      <c r="X20">
        <f t="shared" si="4"/>
        <v>0</v>
      </c>
    </row>
    <row r="21" spans="1:25" ht="12.75">
      <c r="A21" s="25">
        <v>619</v>
      </c>
      <c r="B21" s="26" t="s">
        <v>50</v>
      </c>
      <c r="C21" s="25">
        <v>1320</v>
      </c>
      <c r="D21" s="155">
        <v>124</v>
      </c>
      <c r="E21" s="155">
        <v>124</v>
      </c>
      <c r="F21" s="283">
        <v>124</v>
      </c>
      <c r="G21" s="283">
        <v>124</v>
      </c>
      <c r="H21" s="283">
        <v>124</v>
      </c>
      <c r="I21" s="380">
        <f t="shared" si="3"/>
        <v>619</v>
      </c>
      <c r="J21" s="380">
        <v>124</v>
      </c>
      <c r="K21" s="350">
        <v>0</v>
      </c>
      <c r="L21" s="350">
        <v>0</v>
      </c>
      <c r="M21" s="350">
        <v>0</v>
      </c>
      <c r="N21" s="445">
        <f t="shared" si="2"/>
        <v>0</v>
      </c>
      <c r="O21" s="789">
        <f t="shared" si="0"/>
        <v>0</v>
      </c>
      <c r="P21" s="358">
        <f t="shared" si="1"/>
        <v>1444</v>
      </c>
      <c r="Q21" s="27">
        <v>0</v>
      </c>
      <c r="R21" s="25">
        <v>0</v>
      </c>
      <c r="S21" s="25">
        <v>0</v>
      </c>
      <c r="T21" s="359"/>
      <c r="V21" t="s">
        <v>415</v>
      </c>
      <c r="W21">
        <v>517.6</v>
      </c>
      <c r="X21">
        <f t="shared" si="4"/>
        <v>155.28</v>
      </c>
      <c r="Y21">
        <v>155</v>
      </c>
    </row>
    <row r="22" spans="1:25" ht="12.75">
      <c r="A22" s="25">
        <v>620</v>
      </c>
      <c r="B22" s="26" t="s">
        <v>51</v>
      </c>
      <c r="C22" s="25">
        <v>1550</v>
      </c>
      <c r="D22" s="155">
        <v>94</v>
      </c>
      <c r="E22" s="155">
        <v>94</v>
      </c>
      <c r="F22" s="283">
        <v>94</v>
      </c>
      <c r="G22" s="283">
        <v>94</v>
      </c>
      <c r="H22" s="283">
        <v>94</v>
      </c>
      <c r="I22" s="380">
        <f t="shared" si="3"/>
        <v>620</v>
      </c>
      <c r="J22" s="380">
        <v>94</v>
      </c>
      <c r="K22" s="350">
        <v>0</v>
      </c>
      <c r="L22" s="350">
        <v>0</v>
      </c>
      <c r="M22" s="350">
        <v>0</v>
      </c>
      <c r="N22" s="445">
        <f t="shared" si="2"/>
        <v>0</v>
      </c>
      <c r="O22" s="789">
        <f t="shared" si="0"/>
        <v>0</v>
      </c>
      <c r="P22" s="358">
        <f t="shared" si="1"/>
        <v>1644</v>
      </c>
      <c r="Q22" s="27">
        <v>0</v>
      </c>
      <c r="R22" s="25">
        <v>0</v>
      </c>
      <c r="S22" s="25">
        <v>0</v>
      </c>
      <c r="T22" s="359"/>
      <c r="V22" t="s">
        <v>416</v>
      </c>
      <c r="W22">
        <v>388.2</v>
      </c>
      <c r="X22">
        <f t="shared" si="4"/>
        <v>116.46</v>
      </c>
      <c r="Y22">
        <v>116</v>
      </c>
    </row>
    <row r="23" spans="1:25" ht="12.75">
      <c r="A23" s="25">
        <v>621</v>
      </c>
      <c r="B23" s="26" t="s">
        <v>52</v>
      </c>
      <c r="C23" s="25">
        <v>1340</v>
      </c>
      <c r="D23" s="155">
        <v>122</v>
      </c>
      <c r="E23" s="155">
        <v>122</v>
      </c>
      <c r="F23" s="283">
        <v>122</v>
      </c>
      <c r="G23" s="283">
        <v>122</v>
      </c>
      <c r="H23" s="283">
        <v>122</v>
      </c>
      <c r="I23" s="380">
        <f t="shared" si="3"/>
        <v>621</v>
      </c>
      <c r="J23" s="380">
        <v>122</v>
      </c>
      <c r="K23" s="350">
        <v>0</v>
      </c>
      <c r="L23" s="350">
        <v>0</v>
      </c>
      <c r="M23" s="350">
        <v>0</v>
      </c>
      <c r="N23" s="445">
        <f t="shared" si="2"/>
        <v>0</v>
      </c>
      <c r="O23" s="789">
        <f t="shared" si="0"/>
        <v>0</v>
      </c>
      <c r="P23" s="358">
        <f t="shared" si="1"/>
        <v>1462</v>
      </c>
      <c r="Q23" s="27">
        <v>0</v>
      </c>
      <c r="R23" s="25">
        <v>0</v>
      </c>
      <c r="S23" s="25">
        <v>0</v>
      </c>
      <c r="T23" s="359"/>
      <c r="V23" t="s">
        <v>417</v>
      </c>
      <c r="W23">
        <v>388.2</v>
      </c>
      <c r="X23">
        <f t="shared" si="4"/>
        <v>116.46</v>
      </c>
      <c r="Y23">
        <v>116</v>
      </c>
    </row>
    <row r="24" spans="1:25" ht="12.75">
      <c r="A24" s="25">
        <v>622</v>
      </c>
      <c r="B24" s="26" t="s">
        <v>53</v>
      </c>
      <c r="C24" s="32">
        <v>971</v>
      </c>
      <c r="D24" s="155">
        <v>170</v>
      </c>
      <c r="E24" s="381">
        <v>216</v>
      </c>
      <c r="F24" s="283">
        <v>261</v>
      </c>
      <c r="G24" s="350">
        <v>327</v>
      </c>
      <c r="H24" s="350">
        <v>350</v>
      </c>
      <c r="I24" s="380">
        <f t="shared" si="3"/>
        <v>622</v>
      </c>
      <c r="J24" s="380">
        <v>414.7</v>
      </c>
      <c r="K24" s="350">
        <v>0</v>
      </c>
      <c r="L24" s="350">
        <v>0</v>
      </c>
      <c r="M24" s="350">
        <v>0</v>
      </c>
      <c r="N24" s="445">
        <f t="shared" si="2"/>
        <v>0</v>
      </c>
      <c r="O24" s="789">
        <f t="shared" si="0"/>
        <v>0</v>
      </c>
      <c r="P24" s="358">
        <f t="shared" si="1"/>
        <v>1298</v>
      </c>
      <c r="Q24" s="27">
        <v>0</v>
      </c>
      <c r="R24" s="25">
        <v>0</v>
      </c>
      <c r="S24" s="25">
        <v>0</v>
      </c>
      <c r="T24" s="359"/>
      <c r="V24" t="s">
        <v>418</v>
      </c>
      <c r="W24">
        <v>388.2</v>
      </c>
      <c r="X24">
        <f t="shared" si="4"/>
        <v>116.46</v>
      </c>
      <c r="Y24">
        <v>116</v>
      </c>
    </row>
    <row r="25" spans="1:25" ht="12.75">
      <c r="A25" s="25">
        <v>623</v>
      </c>
      <c r="B25" s="26" t="s">
        <v>54</v>
      </c>
      <c r="C25" s="25">
        <v>1690</v>
      </c>
      <c r="D25" s="155">
        <v>76</v>
      </c>
      <c r="E25" s="155">
        <v>76</v>
      </c>
      <c r="F25" s="283">
        <v>76</v>
      </c>
      <c r="G25" s="283">
        <v>76</v>
      </c>
      <c r="H25" s="283">
        <v>76</v>
      </c>
      <c r="I25" s="380">
        <f t="shared" si="3"/>
        <v>623</v>
      </c>
      <c r="J25" s="380">
        <v>76</v>
      </c>
      <c r="K25" s="350">
        <v>0</v>
      </c>
      <c r="L25" s="350">
        <v>0</v>
      </c>
      <c r="M25" s="350">
        <v>0</v>
      </c>
      <c r="N25" s="445">
        <f t="shared" si="2"/>
        <v>0</v>
      </c>
      <c r="O25" s="789">
        <f t="shared" si="0"/>
        <v>0</v>
      </c>
      <c r="P25" s="358">
        <f t="shared" si="1"/>
        <v>1766</v>
      </c>
      <c r="Q25" s="27">
        <v>0</v>
      </c>
      <c r="R25" s="25">
        <v>0</v>
      </c>
      <c r="S25" s="25">
        <v>0</v>
      </c>
      <c r="T25" s="359"/>
      <c r="V25" t="s">
        <v>419</v>
      </c>
      <c r="W25">
        <v>388.2</v>
      </c>
      <c r="X25">
        <f t="shared" si="4"/>
        <v>116.46</v>
      </c>
      <c r="Y25">
        <v>116</v>
      </c>
    </row>
    <row r="26" spans="1:20" ht="12.75">
      <c r="A26" s="25">
        <v>624</v>
      </c>
      <c r="B26" s="26" t="s">
        <v>55</v>
      </c>
      <c r="C26" s="25">
        <v>1400</v>
      </c>
      <c r="D26" s="155">
        <v>114</v>
      </c>
      <c r="E26" s="155">
        <v>114</v>
      </c>
      <c r="F26" s="283">
        <f>IF(C26&lt;972,E26+44,E26)</f>
        <v>114</v>
      </c>
      <c r="G26" s="283">
        <v>114</v>
      </c>
      <c r="H26" s="283">
        <v>114</v>
      </c>
      <c r="I26" s="380">
        <f t="shared" si="3"/>
        <v>624</v>
      </c>
      <c r="J26" s="380">
        <v>114</v>
      </c>
      <c r="K26" s="350">
        <v>0</v>
      </c>
      <c r="L26" s="350">
        <v>0</v>
      </c>
      <c r="M26" s="350">
        <v>0</v>
      </c>
      <c r="N26" s="445">
        <f t="shared" si="2"/>
        <v>0</v>
      </c>
      <c r="O26" s="789">
        <f t="shared" si="0"/>
        <v>0</v>
      </c>
      <c r="P26" s="358">
        <f t="shared" si="1"/>
        <v>1514</v>
      </c>
      <c r="Q26" s="27">
        <v>0</v>
      </c>
      <c r="R26" s="25">
        <v>0</v>
      </c>
      <c r="S26" s="25">
        <v>0</v>
      </c>
      <c r="T26" s="359"/>
    </row>
    <row r="27" spans="1:20" ht="12.75">
      <c r="A27" s="25">
        <v>625</v>
      </c>
      <c r="B27" s="26" t="s">
        <v>56</v>
      </c>
      <c r="C27" s="25">
        <v>1370</v>
      </c>
      <c r="D27" s="155">
        <v>118</v>
      </c>
      <c r="E27" s="155">
        <v>118</v>
      </c>
      <c r="F27" s="283">
        <f>IF(C27&lt;972,E27+44,E27)</f>
        <v>118</v>
      </c>
      <c r="G27" s="283">
        <v>118</v>
      </c>
      <c r="H27" s="283">
        <v>118</v>
      </c>
      <c r="I27" s="380">
        <f t="shared" si="3"/>
        <v>625</v>
      </c>
      <c r="J27" s="380">
        <v>118</v>
      </c>
      <c r="K27" s="350">
        <v>388.2</v>
      </c>
      <c r="L27" s="350">
        <v>388.2</v>
      </c>
      <c r="M27" s="350">
        <v>388.2</v>
      </c>
      <c r="N27" s="445">
        <f t="shared" si="2"/>
        <v>388.2</v>
      </c>
      <c r="O27" s="789">
        <f t="shared" si="0"/>
        <v>388.2</v>
      </c>
      <c r="P27" s="358">
        <f t="shared" si="1"/>
        <v>1876.2</v>
      </c>
      <c r="Q27" s="27">
        <v>0</v>
      </c>
      <c r="R27" s="25">
        <v>0</v>
      </c>
      <c r="S27" s="25">
        <v>0</v>
      </c>
      <c r="T27" s="359"/>
    </row>
    <row r="28" spans="1:20" ht="12.75">
      <c r="A28" s="25">
        <v>626</v>
      </c>
      <c r="B28" s="26" t="s">
        <v>57</v>
      </c>
      <c r="C28" s="25">
        <v>1340</v>
      </c>
      <c r="D28" s="155">
        <v>122</v>
      </c>
      <c r="E28" s="155">
        <v>122</v>
      </c>
      <c r="F28" s="283">
        <f>IF(C28&lt;972,E28+44,E28)</f>
        <v>122</v>
      </c>
      <c r="G28" s="283">
        <v>122</v>
      </c>
      <c r="H28" s="283">
        <v>122</v>
      </c>
      <c r="I28" s="380">
        <f t="shared" si="3"/>
        <v>626</v>
      </c>
      <c r="J28" s="380">
        <v>122</v>
      </c>
      <c r="K28" s="350">
        <v>388.2</v>
      </c>
      <c r="L28" s="350">
        <v>388.2</v>
      </c>
      <c r="M28" s="350">
        <v>388.2</v>
      </c>
      <c r="N28" s="445">
        <f t="shared" si="2"/>
        <v>388.2</v>
      </c>
      <c r="O28" s="789">
        <f t="shared" si="0"/>
        <v>388.2</v>
      </c>
      <c r="P28" s="358">
        <f t="shared" si="1"/>
        <v>1850.2</v>
      </c>
      <c r="Q28" s="27">
        <v>0</v>
      </c>
      <c r="R28" s="25">
        <v>0</v>
      </c>
      <c r="S28" s="25">
        <v>0</v>
      </c>
      <c r="T28" s="359"/>
    </row>
    <row r="29" spans="1:20" ht="12.75">
      <c r="A29" s="25">
        <v>627</v>
      </c>
      <c r="B29" s="26" t="s">
        <v>58</v>
      </c>
      <c r="C29" s="25">
        <v>1300</v>
      </c>
      <c r="D29" s="155">
        <v>127</v>
      </c>
      <c r="E29" s="155">
        <v>127</v>
      </c>
      <c r="F29" s="283">
        <f>IF(C29&lt;972,E29+44,E29)</f>
        <v>127</v>
      </c>
      <c r="G29" s="283">
        <v>127</v>
      </c>
      <c r="H29" s="283">
        <v>127</v>
      </c>
      <c r="I29" s="380">
        <f t="shared" si="3"/>
        <v>627</v>
      </c>
      <c r="J29" s="380">
        <v>127</v>
      </c>
      <c r="K29" s="350">
        <v>388.2</v>
      </c>
      <c r="L29" s="350">
        <v>388.2</v>
      </c>
      <c r="M29" s="350">
        <v>388.2</v>
      </c>
      <c r="N29" s="445">
        <f t="shared" si="2"/>
        <v>388.2</v>
      </c>
      <c r="O29" s="789">
        <f t="shared" si="0"/>
        <v>388.2</v>
      </c>
      <c r="P29" s="358">
        <f t="shared" si="1"/>
        <v>1815.2</v>
      </c>
      <c r="Q29" s="27">
        <v>0</v>
      </c>
      <c r="R29" s="25">
        <v>0</v>
      </c>
      <c r="S29" s="25">
        <v>0</v>
      </c>
      <c r="T29" s="359"/>
    </row>
    <row r="30" spans="1:20" ht="12.75">
      <c r="A30" s="25">
        <v>628</v>
      </c>
      <c r="B30" s="26" t="s">
        <v>59</v>
      </c>
      <c r="C30" s="25">
        <v>980</v>
      </c>
      <c r="D30" s="155">
        <v>169</v>
      </c>
      <c r="E30" s="155">
        <v>169</v>
      </c>
      <c r="F30" s="283">
        <f>IF(C30&lt;972,E30+44,E30)</f>
        <v>169</v>
      </c>
      <c r="G30" s="283">
        <v>169</v>
      </c>
      <c r="H30" s="283">
        <v>169</v>
      </c>
      <c r="I30" s="380">
        <f t="shared" si="3"/>
        <v>628</v>
      </c>
      <c r="J30" s="380">
        <v>169</v>
      </c>
      <c r="K30" s="350">
        <v>0</v>
      </c>
      <c r="L30" s="350">
        <v>0</v>
      </c>
      <c r="M30" s="350">
        <v>0</v>
      </c>
      <c r="N30" s="445">
        <f t="shared" si="2"/>
        <v>0</v>
      </c>
      <c r="O30" s="789">
        <f t="shared" si="0"/>
        <v>0</v>
      </c>
      <c r="P30" s="358">
        <f t="shared" si="1"/>
        <v>1149</v>
      </c>
      <c r="Q30" s="27">
        <v>0</v>
      </c>
      <c r="R30" s="25">
        <v>0</v>
      </c>
      <c r="S30" s="25">
        <v>0</v>
      </c>
      <c r="T30" s="359"/>
    </row>
    <row r="31" spans="1:20" ht="12.75">
      <c r="A31" s="25">
        <v>629</v>
      </c>
      <c r="B31" s="26" t="s">
        <v>60</v>
      </c>
      <c r="C31" s="25">
        <v>941</v>
      </c>
      <c r="D31" s="155">
        <v>170</v>
      </c>
      <c r="E31" s="381">
        <v>216</v>
      </c>
      <c r="F31" s="283">
        <v>261</v>
      </c>
      <c r="G31" s="350">
        <v>327</v>
      </c>
      <c r="H31" s="350">
        <v>350</v>
      </c>
      <c r="I31" s="380">
        <f t="shared" si="3"/>
        <v>629</v>
      </c>
      <c r="J31" s="380">
        <v>414.7</v>
      </c>
      <c r="K31" s="350">
        <v>0</v>
      </c>
      <c r="L31" s="350">
        <v>0</v>
      </c>
      <c r="M31" s="350">
        <v>0</v>
      </c>
      <c r="N31" s="445">
        <f t="shared" si="2"/>
        <v>0</v>
      </c>
      <c r="O31" s="789">
        <f t="shared" si="0"/>
        <v>0</v>
      </c>
      <c r="P31" s="358">
        <f t="shared" si="1"/>
        <v>1268</v>
      </c>
      <c r="Q31" s="27">
        <v>0</v>
      </c>
      <c r="R31" s="25">
        <v>0</v>
      </c>
      <c r="S31" s="25">
        <v>0</v>
      </c>
      <c r="T31" s="359"/>
    </row>
    <row r="32" spans="1:20" ht="12.75">
      <c r="A32" s="25">
        <v>630</v>
      </c>
      <c r="B32" s="26" t="s">
        <v>61</v>
      </c>
      <c r="C32" s="25">
        <v>1170</v>
      </c>
      <c r="D32" s="155">
        <v>144</v>
      </c>
      <c r="E32" s="155">
        <v>144</v>
      </c>
      <c r="F32" s="283">
        <f>IF(C32&lt;972,E32+44,E32)</f>
        <v>144</v>
      </c>
      <c r="G32" s="283">
        <v>144</v>
      </c>
      <c r="H32" s="283">
        <v>144</v>
      </c>
      <c r="I32" s="380">
        <f t="shared" si="3"/>
        <v>630</v>
      </c>
      <c r="J32" s="380">
        <v>144</v>
      </c>
      <c r="K32" s="350">
        <v>0</v>
      </c>
      <c r="L32" s="350">
        <v>0</v>
      </c>
      <c r="M32" s="350">
        <v>0</v>
      </c>
      <c r="N32" s="445">
        <f t="shared" si="2"/>
        <v>0</v>
      </c>
      <c r="O32" s="789">
        <f t="shared" si="0"/>
        <v>0</v>
      </c>
      <c r="P32" s="358">
        <f t="shared" si="1"/>
        <v>1314</v>
      </c>
      <c r="Q32" s="27">
        <v>0</v>
      </c>
      <c r="R32" s="25">
        <v>0</v>
      </c>
      <c r="S32" s="25">
        <v>0</v>
      </c>
      <c r="T32" s="359"/>
    </row>
    <row r="33" spans="1:20" ht="12.75">
      <c r="A33" s="25">
        <v>631</v>
      </c>
      <c r="B33" s="26" t="s">
        <v>62</v>
      </c>
      <c r="C33" s="25">
        <v>1170</v>
      </c>
      <c r="D33" s="155">
        <v>144</v>
      </c>
      <c r="E33" s="155">
        <v>144</v>
      </c>
      <c r="F33" s="283">
        <f>IF(C33&lt;972,E33+44,E33)</f>
        <v>144</v>
      </c>
      <c r="G33" s="283">
        <v>144</v>
      </c>
      <c r="H33" s="283">
        <v>144</v>
      </c>
      <c r="I33" s="380">
        <f t="shared" si="3"/>
        <v>631</v>
      </c>
      <c r="J33" s="380">
        <v>144</v>
      </c>
      <c r="K33" s="350">
        <v>0</v>
      </c>
      <c r="L33" s="350">
        <v>0</v>
      </c>
      <c r="M33" s="350">
        <v>0</v>
      </c>
      <c r="N33" s="445">
        <f t="shared" si="2"/>
        <v>0</v>
      </c>
      <c r="O33" s="789">
        <f t="shared" si="0"/>
        <v>0</v>
      </c>
      <c r="P33" s="358">
        <f t="shared" si="1"/>
        <v>1314</v>
      </c>
      <c r="Q33" s="27">
        <v>0</v>
      </c>
      <c r="R33" s="25">
        <v>0</v>
      </c>
      <c r="S33" s="25">
        <v>0</v>
      </c>
      <c r="T33" s="359"/>
    </row>
    <row r="34" spans="1:20" ht="12.75">
      <c r="A34" s="25">
        <v>632</v>
      </c>
      <c r="B34" s="26" t="s">
        <v>63</v>
      </c>
      <c r="C34" s="25">
        <v>941</v>
      </c>
      <c r="D34" s="155">
        <v>170</v>
      </c>
      <c r="E34" s="381">
        <v>216</v>
      </c>
      <c r="F34" s="283">
        <v>261</v>
      </c>
      <c r="G34" s="350">
        <v>327</v>
      </c>
      <c r="H34" s="350">
        <v>350</v>
      </c>
      <c r="I34" s="380">
        <f t="shared" si="3"/>
        <v>632</v>
      </c>
      <c r="J34" s="380">
        <v>414.7</v>
      </c>
      <c r="K34" s="350">
        <v>0</v>
      </c>
      <c r="L34" s="350">
        <v>0</v>
      </c>
      <c r="M34" s="350">
        <v>0</v>
      </c>
      <c r="N34" s="445">
        <f t="shared" si="2"/>
        <v>0</v>
      </c>
      <c r="O34" s="789">
        <f t="shared" si="0"/>
        <v>0</v>
      </c>
      <c r="P34" s="358">
        <f t="shared" si="1"/>
        <v>1268</v>
      </c>
      <c r="Q34" s="27">
        <v>0</v>
      </c>
      <c r="R34" s="25">
        <v>0</v>
      </c>
      <c r="S34" s="25">
        <v>0</v>
      </c>
      <c r="T34" s="359"/>
    </row>
    <row r="35" spans="1:20" ht="12.75">
      <c r="A35" s="25">
        <v>633</v>
      </c>
      <c r="B35" s="26" t="s">
        <v>64</v>
      </c>
      <c r="C35" s="25">
        <v>941</v>
      </c>
      <c r="D35" s="155">
        <v>170</v>
      </c>
      <c r="E35" s="381">
        <v>216</v>
      </c>
      <c r="F35" s="283">
        <v>261</v>
      </c>
      <c r="G35" s="350">
        <v>327</v>
      </c>
      <c r="H35" s="350">
        <v>350</v>
      </c>
      <c r="I35" s="380">
        <f t="shared" si="3"/>
        <v>633</v>
      </c>
      <c r="J35" s="380">
        <v>414.7</v>
      </c>
      <c r="K35" s="350">
        <v>0</v>
      </c>
      <c r="L35" s="350">
        <v>0</v>
      </c>
      <c r="M35" s="350">
        <v>0</v>
      </c>
      <c r="N35" s="445">
        <f t="shared" si="2"/>
        <v>0</v>
      </c>
      <c r="O35" s="789">
        <f t="shared" si="0"/>
        <v>0</v>
      </c>
      <c r="P35" s="358">
        <f t="shared" si="1"/>
        <v>1268</v>
      </c>
      <c r="Q35" s="27">
        <v>0</v>
      </c>
      <c r="R35" s="25">
        <v>0</v>
      </c>
      <c r="S35" s="25">
        <v>0</v>
      </c>
      <c r="T35" s="359"/>
    </row>
    <row r="36" spans="1:20" ht="12.75">
      <c r="A36" s="25">
        <v>634</v>
      </c>
      <c r="B36" s="26" t="s">
        <v>65</v>
      </c>
      <c r="C36" s="25">
        <v>971</v>
      </c>
      <c r="D36" s="155">
        <v>170</v>
      </c>
      <c r="E36" s="381">
        <v>216</v>
      </c>
      <c r="F36" s="283">
        <v>261</v>
      </c>
      <c r="G36" s="350">
        <v>327</v>
      </c>
      <c r="H36" s="350">
        <v>350</v>
      </c>
      <c r="I36" s="380">
        <f t="shared" si="3"/>
        <v>634</v>
      </c>
      <c r="J36" s="380">
        <v>414.7</v>
      </c>
      <c r="K36" s="350">
        <v>0</v>
      </c>
      <c r="L36" s="350">
        <v>0</v>
      </c>
      <c r="M36" s="350">
        <v>0</v>
      </c>
      <c r="N36" s="445">
        <f t="shared" si="2"/>
        <v>0</v>
      </c>
      <c r="O36" s="789">
        <f t="shared" si="0"/>
        <v>0</v>
      </c>
      <c r="P36" s="358">
        <f t="shared" si="1"/>
        <v>1298</v>
      </c>
      <c r="Q36" s="27">
        <v>0</v>
      </c>
      <c r="R36" s="25">
        <v>0</v>
      </c>
      <c r="S36" s="25">
        <v>0</v>
      </c>
      <c r="T36" s="359"/>
    </row>
    <row r="37" spans="1:20" ht="12.75">
      <c r="A37" s="25">
        <v>635</v>
      </c>
      <c r="B37" s="26" t="s">
        <v>369</v>
      </c>
      <c r="C37" s="25">
        <v>1610</v>
      </c>
      <c r="D37" s="155">
        <v>87</v>
      </c>
      <c r="E37" s="155">
        <v>87</v>
      </c>
      <c r="F37" s="283">
        <f>IF(C37&lt;972,E37+44,E37)</f>
        <v>87</v>
      </c>
      <c r="G37" s="283">
        <v>87</v>
      </c>
      <c r="H37" s="283">
        <v>87</v>
      </c>
      <c r="I37" s="380">
        <f t="shared" si="3"/>
        <v>635</v>
      </c>
      <c r="J37" s="380">
        <v>87</v>
      </c>
      <c r="K37" s="350">
        <v>388.2</v>
      </c>
      <c r="L37" s="350">
        <v>388.2</v>
      </c>
      <c r="M37" s="350">
        <v>388.2</v>
      </c>
      <c r="N37" s="445">
        <f t="shared" si="2"/>
        <v>388.2</v>
      </c>
      <c r="O37" s="789">
        <f t="shared" si="0"/>
        <v>388.2</v>
      </c>
      <c r="P37" s="358">
        <f t="shared" si="1"/>
        <v>2085.2</v>
      </c>
      <c r="Q37" s="27">
        <v>0</v>
      </c>
      <c r="R37" s="25">
        <v>0</v>
      </c>
      <c r="S37" s="25">
        <v>0</v>
      </c>
      <c r="T37" s="359"/>
    </row>
    <row r="38" spans="1:20" ht="12.75">
      <c r="A38" s="25">
        <v>636</v>
      </c>
      <c r="B38" s="26" t="s">
        <v>66</v>
      </c>
      <c r="C38" s="25">
        <v>971</v>
      </c>
      <c r="D38" s="155">
        <v>170</v>
      </c>
      <c r="E38" s="381">
        <v>216</v>
      </c>
      <c r="F38" s="283">
        <v>261</v>
      </c>
      <c r="G38" s="350">
        <v>327</v>
      </c>
      <c r="H38" s="350">
        <v>350</v>
      </c>
      <c r="I38" s="380">
        <f t="shared" si="3"/>
        <v>636</v>
      </c>
      <c r="J38" s="380">
        <v>414.7</v>
      </c>
      <c r="K38" s="350">
        <v>0</v>
      </c>
      <c r="L38" s="350">
        <v>0</v>
      </c>
      <c r="M38" s="350">
        <v>0</v>
      </c>
      <c r="N38" s="445">
        <f t="shared" si="2"/>
        <v>0</v>
      </c>
      <c r="O38" s="789">
        <f t="shared" si="0"/>
        <v>0</v>
      </c>
      <c r="P38" s="358">
        <f t="shared" si="1"/>
        <v>1298</v>
      </c>
      <c r="Q38" s="27">
        <v>0</v>
      </c>
      <c r="R38" s="25">
        <v>0</v>
      </c>
      <c r="S38" s="25">
        <v>0</v>
      </c>
      <c r="T38" s="359"/>
    </row>
    <row r="39" spans="1:20" ht="12.75">
      <c r="A39" s="25">
        <v>637</v>
      </c>
      <c r="B39" s="26" t="s">
        <v>67</v>
      </c>
      <c r="C39" s="25">
        <v>971</v>
      </c>
      <c r="D39" s="155">
        <v>170</v>
      </c>
      <c r="E39" s="381">
        <v>216</v>
      </c>
      <c r="F39" s="283">
        <v>261</v>
      </c>
      <c r="G39" s="350">
        <v>327</v>
      </c>
      <c r="H39" s="350">
        <v>350</v>
      </c>
      <c r="I39" s="380">
        <f t="shared" si="3"/>
        <v>637</v>
      </c>
      <c r="J39" s="380">
        <v>414.7</v>
      </c>
      <c r="K39" s="350">
        <v>0</v>
      </c>
      <c r="L39" s="350">
        <v>0</v>
      </c>
      <c r="M39" s="350">
        <v>0</v>
      </c>
      <c r="N39" s="445">
        <f t="shared" si="2"/>
        <v>0</v>
      </c>
      <c r="O39" s="789">
        <f t="shared" si="0"/>
        <v>0</v>
      </c>
      <c r="P39" s="358">
        <f t="shared" si="1"/>
        <v>1298</v>
      </c>
      <c r="Q39" s="27">
        <v>0</v>
      </c>
      <c r="R39" s="25">
        <v>0</v>
      </c>
      <c r="S39" s="25">
        <v>0</v>
      </c>
      <c r="T39" s="359"/>
    </row>
    <row r="40" spans="1:20" ht="12.75">
      <c r="A40" s="25">
        <v>638</v>
      </c>
      <c r="B40" s="26" t="s">
        <v>68</v>
      </c>
      <c r="C40" s="25">
        <v>906</v>
      </c>
      <c r="D40" s="155">
        <v>170</v>
      </c>
      <c r="E40" s="381">
        <v>216</v>
      </c>
      <c r="F40" s="283">
        <v>261</v>
      </c>
      <c r="G40" s="350">
        <v>327</v>
      </c>
      <c r="H40" s="350">
        <v>350</v>
      </c>
      <c r="I40" s="380">
        <f t="shared" si="3"/>
        <v>638</v>
      </c>
      <c r="J40" s="380">
        <v>414.7</v>
      </c>
      <c r="K40" s="350">
        <v>0</v>
      </c>
      <c r="L40" s="350">
        <v>0</v>
      </c>
      <c r="M40" s="350">
        <v>0</v>
      </c>
      <c r="N40" s="445">
        <f t="shared" si="2"/>
        <v>0</v>
      </c>
      <c r="O40" s="789">
        <f t="shared" si="0"/>
        <v>0</v>
      </c>
      <c r="P40" s="358">
        <f t="shared" si="1"/>
        <v>1233</v>
      </c>
      <c r="Q40" s="27">
        <v>0</v>
      </c>
      <c r="R40" s="25">
        <v>0</v>
      </c>
      <c r="S40" s="25">
        <v>0</v>
      </c>
      <c r="T40" s="359"/>
    </row>
    <row r="41" spans="1:20" ht="12.75">
      <c r="A41" s="25">
        <v>639</v>
      </c>
      <c r="B41" s="26" t="s">
        <v>69</v>
      </c>
      <c r="C41" s="25">
        <v>1300</v>
      </c>
      <c r="D41" s="155">
        <v>127</v>
      </c>
      <c r="E41" s="155">
        <v>127</v>
      </c>
      <c r="F41" s="283">
        <f aca="true" t="shared" si="5" ref="F41:F47">IF(C41&lt;972,E41+44,E41)</f>
        <v>127</v>
      </c>
      <c r="G41" s="283">
        <v>127</v>
      </c>
      <c r="H41" s="283">
        <v>127</v>
      </c>
      <c r="I41" s="380">
        <f t="shared" si="3"/>
        <v>639</v>
      </c>
      <c r="J41" s="380">
        <v>127</v>
      </c>
      <c r="K41" s="350">
        <v>0</v>
      </c>
      <c r="L41" s="350">
        <v>0</v>
      </c>
      <c r="M41" s="350">
        <v>0</v>
      </c>
      <c r="N41" s="445">
        <f t="shared" si="2"/>
        <v>0</v>
      </c>
      <c r="O41" s="789">
        <f t="shared" si="0"/>
        <v>0</v>
      </c>
      <c r="P41" s="358">
        <f t="shared" si="1"/>
        <v>1427</v>
      </c>
      <c r="Q41" s="27">
        <v>0</v>
      </c>
      <c r="R41" s="25">
        <v>0</v>
      </c>
      <c r="S41" s="25">
        <v>0</v>
      </c>
      <c r="T41" s="359"/>
    </row>
    <row r="42" spans="1:20" ht="12.75">
      <c r="A42" s="25">
        <v>640</v>
      </c>
      <c r="B42" s="26" t="s">
        <v>70</v>
      </c>
      <c r="C42" s="25">
        <v>2830</v>
      </c>
      <c r="D42" s="155">
        <v>0</v>
      </c>
      <c r="E42" s="155">
        <v>0</v>
      </c>
      <c r="F42" s="283">
        <f t="shared" si="5"/>
        <v>0</v>
      </c>
      <c r="G42" s="283">
        <v>0</v>
      </c>
      <c r="H42" s="283">
        <v>0</v>
      </c>
      <c r="I42" s="380">
        <f t="shared" si="3"/>
        <v>640</v>
      </c>
      <c r="J42" s="380">
        <v>0</v>
      </c>
      <c r="K42" s="350">
        <v>0</v>
      </c>
      <c r="L42" s="350">
        <v>0</v>
      </c>
      <c r="M42" s="350">
        <v>0</v>
      </c>
      <c r="N42" s="445">
        <f t="shared" si="2"/>
        <v>0</v>
      </c>
      <c r="O42" s="789">
        <f t="shared" si="0"/>
        <v>0</v>
      </c>
      <c r="P42" s="358">
        <f t="shared" si="1"/>
        <v>2830</v>
      </c>
      <c r="Q42" s="27">
        <v>0</v>
      </c>
      <c r="R42" s="25">
        <v>0</v>
      </c>
      <c r="S42" s="25">
        <v>0</v>
      </c>
      <c r="T42" s="359"/>
    </row>
    <row r="43" spans="1:20" ht="12.75">
      <c r="A43" s="25">
        <v>641</v>
      </c>
      <c r="B43" s="26" t="s">
        <v>71</v>
      </c>
      <c r="C43" s="25">
        <v>1550</v>
      </c>
      <c r="D43" s="155">
        <v>94</v>
      </c>
      <c r="E43" s="155">
        <v>94</v>
      </c>
      <c r="F43" s="283">
        <f t="shared" si="5"/>
        <v>94</v>
      </c>
      <c r="G43" s="283">
        <v>94</v>
      </c>
      <c r="H43" s="283">
        <v>94</v>
      </c>
      <c r="I43" s="380">
        <f t="shared" si="3"/>
        <v>641</v>
      </c>
      <c r="J43" s="380">
        <v>94</v>
      </c>
      <c r="K43" s="350">
        <v>0</v>
      </c>
      <c r="L43" s="350">
        <v>0</v>
      </c>
      <c r="M43" s="350">
        <v>0</v>
      </c>
      <c r="N43" s="445">
        <f t="shared" si="2"/>
        <v>0</v>
      </c>
      <c r="O43" s="789">
        <f t="shared" si="0"/>
        <v>0</v>
      </c>
      <c r="P43" s="358">
        <f t="shared" si="1"/>
        <v>1644</v>
      </c>
      <c r="Q43" s="27">
        <v>0</v>
      </c>
      <c r="R43" s="25">
        <v>0</v>
      </c>
      <c r="S43" s="25">
        <v>0</v>
      </c>
      <c r="T43" s="359"/>
    </row>
    <row r="44" spans="1:20" ht="12.75">
      <c r="A44" s="25">
        <v>642</v>
      </c>
      <c r="B44" s="26" t="s">
        <v>72</v>
      </c>
      <c r="C44" s="25">
        <v>1170</v>
      </c>
      <c r="D44" s="155">
        <v>144</v>
      </c>
      <c r="E44" s="155">
        <v>144</v>
      </c>
      <c r="F44" s="283">
        <f t="shared" si="5"/>
        <v>144</v>
      </c>
      <c r="G44" s="283">
        <v>144</v>
      </c>
      <c r="H44" s="283">
        <v>144</v>
      </c>
      <c r="I44" s="380">
        <f t="shared" si="3"/>
        <v>642</v>
      </c>
      <c r="J44" s="380">
        <v>144</v>
      </c>
      <c r="K44" s="350">
        <v>0</v>
      </c>
      <c r="L44" s="350">
        <v>0</v>
      </c>
      <c r="M44" s="350">
        <v>0</v>
      </c>
      <c r="N44" s="445">
        <f t="shared" si="2"/>
        <v>0</v>
      </c>
      <c r="O44" s="789">
        <f t="shared" si="0"/>
        <v>0</v>
      </c>
      <c r="P44" s="358">
        <f t="shared" si="1"/>
        <v>1314</v>
      </c>
      <c r="Q44" s="27">
        <v>0</v>
      </c>
      <c r="R44" s="25">
        <v>0</v>
      </c>
      <c r="S44" s="25">
        <v>0</v>
      </c>
      <c r="T44" s="359"/>
    </row>
    <row r="45" spans="1:20" ht="12.75">
      <c r="A45" s="25">
        <v>643</v>
      </c>
      <c r="B45" s="26" t="s">
        <v>73</v>
      </c>
      <c r="C45" s="25">
        <v>1500</v>
      </c>
      <c r="D45" s="155">
        <v>101</v>
      </c>
      <c r="E45" s="155">
        <v>101</v>
      </c>
      <c r="F45" s="283">
        <f t="shared" si="5"/>
        <v>101</v>
      </c>
      <c r="G45" s="283">
        <v>101</v>
      </c>
      <c r="H45" s="283">
        <v>101</v>
      </c>
      <c r="I45" s="380">
        <f t="shared" si="3"/>
        <v>643</v>
      </c>
      <c r="J45" s="380">
        <v>101</v>
      </c>
      <c r="K45" s="350">
        <v>388.2</v>
      </c>
      <c r="L45" s="350">
        <v>388.2</v>
      </c>
      <c r="M45" s="350">
        <v>388.2</v>
      </c>
      <c r="N45" s="445">
        <f t="shared" si="2"/>
        <v>388.2</v>
      </c>
      <c r="O45" s="789">
        <f t="shared" si="0"/>
        <v>388.2</v>
      </c>
      <c r="P45" s="358">
        <f t="shared" si="1"/>
        <v>1989.2</v>
      </c>
      <c r="Q45" s="27">
        <v>0</v>
      </c>
      <c r="R45" s="25">
        <v>0</v>
      </c>
      <c r="S45" s="25">
        <v>0</v>
      </c>
      <c r="T45" s="359"/>
    </row>
    <row r="46" spans="1:20" ht="12.75">
      <c r="A46" s="25">
        <v>644</v>
      </c>
      <c r="B46" s="26" t="s">
        <v>74</v>
      </c>
      <c r="C46" s="25">
        <v>2490</v>
      </c>
      <c r="D46" s="155">
        <v>0</v>
      </c>
      <c r="E46" s="155">
        <v>0</v>
      </c>
      <c r="F46" s="283">
        <f t="shared" si="5"/>
        <v>0</v>
      </c>
      <c r="G46" s="283">
        <v>0</v>
      </c>
      <c r="H46" s="283">
        <v>0</v>
      </c>
      <c r="I46" s="380">
        <f t="shared" si="3"/>
        <v>644</v>
      </c>
      <c r="J46" s="380">
        <v>0</v>
      </c>
      <c r="K46" s="350">
        <v>0</v>
      </c>
      <c r="L46" s="350">
        <v>0</v>
      </c>
      <c r="M46" s="350">
        <v>0</v>
      </c>
      <c r="N46" s="445">
        <f t="shared" si="2"/>
        <v>0</v>
      </c>
      <c r="O46" s="789">
        <f t="shared" si="0"/>
        <v>0</v>
      </c>
      <c r="P46" s="358">
        <f t="shared" si="1"/>
        <v>2490</v>
      </c>
      <c r="Q46" s="27">
        <v>0</v>
      </c>
      <c r="R46" s="25">
        <v>0</v>
      </c>
      <c r="S46" s="25">
        <v>0</v>
      </c>
      <c r="T46" s="359"/>
    </row>
    <row r="47" spans="1:20" ht="12.75">
      <c r="A47" s="25">
        <v>645</v>
      </c>
      <c r="B47" s="26" t="s">
        <v>75</v>
      </c>
      <c r="C47" s="25">
        <v>2329</v>
      </c>
      <c r="D47" s="155">
        <v>0</v>
      </c>
      <c r="E47" s="155">
        <v>0</v>
      </c>
      <c r="F47" s="283">
        <f t="shared" si="5"/>
        <v>0</v>
      </c>
      <c r="G47" s="283">
        <v>0</v>
      </c>
      <c r="H47" s="283">
        <v>0</v>
      </c>
      <c r="I47" s="380">
        <f t="shared" si="3"/>
        <v>645</v>
      </c>
      <c r="J47" s="380">
        <v>0</v>
      </c>
      <c r="K47" s="350">
        <v>0</v>
      </c>
      <c r="L47" s="350">
        <v>0</v>
      </c>
      <c r="M47" s="350">
        <v>0</v>
      </c>
      <c r="N47" s="445">
        <f t="shared" si="2"/>
        <v>0</v>
      </c>
      <c r="O47" s="789">
        <f t="shared" si="0"/>
        <v>0</v>
      </c>
      <c r="P47" s="358">
        <f t="shared" si="1"/>
        <v>2329</v>
      </c>
      <c r="Q47" s="27">
        <v>0</v>
      </c>
      <c r="R47" s="25">
        <v>0</v>
      </c>
      <c r="S47" s="25">
        <v>0</v>
      </c>
      <c r="T47" s="359"/>
    </row>
    <row r="48" spans="1:20" ht="12.75">
      <c r="A48" s="25">
        <v>646</v>
      </c>
      <c r="B48" s="26" t="s">
        <v>76</v>
      </c>
      <c r="C48" s="25">
        <v>906</v>
      </c>
      <c r="D48" s="155">
        <v>170</v>
      </c>
      <c r="E48" s="381">
        <v>216</v>
      </c>
      <c r="F48" s="283">
        <v>261</v>
      </c>
      <c r="G48" s="350">
        <v>327</v>
      </c>
      <c r="H48" s="350">
        <v>350</v>
      </c>
      <c r="I48" s="380">
        <f t="shared" si="3"/>
        <v>646</v>
      </c>
      <c r="J48" s="380">
        <v>414.7</v>
      </c>
      <c r="K48" s="350">
        <v>0</v>
      </c>
      <c r="L48" s="350">
        <v>0</v>
      </c>
      <c r="M48" s="350">
        <v>0</v>
      </c>
      <c r="N48" s="445">
        <f t="shared" si="2"/>
        <v>0</v>
      </c>
      <c r="O48" s="789">
        <f t="shared" si="0"/>
        <v>0</v>
      </c>
      <c r="P48" s="358">
        <f t="shared" si="1"/>
        <v>1233</v>
      </c>
      <c r="Q48" s="27">
        <v>0</v>
      </c>
      <c r="R48" s="25">
        <v>0</v>
      </c>
      <c r="S48" s="25">
        <v>0</v>
      </c>
      <c r="T48" s="359"/>
    </row>
    <row r="49" spans="1:20" ht="12.75">
      <c r="A49" s="25">
        <v>647</v>
      </c>
      <c r="B49" s="26" t="s">
        <v>77</v>
      </c>
      <c r="C49" s="25">
        <v>1830</v>
      </c>
      <c r="D49" s="155">
        <v>58</v>
      </c>
      <c r="E49" s="155">
        <v>58</v>
      </c>
      <c r="F49" s="283">
        <f>IF(C49&lt;972,E49+44,E49)</f>
        <v>58</v>
      </c>
      <c r="G49" s="283">
        <v>58</v>
      </c>
      <c r="H49" s="283">
        <v>58</v>
      </c>
      <c r="I49" s="380">
        <f t="shared" si="3"/>
        <v>647</v>
      </c>
      <c r="J49" s="380">
        <v>58</v>
      </c>
      <c r="K49" s="350">
        <v>0</v>
      </c>
      <c r="L49" s="350">
        <v>0</v>
      </c>
      <c r="M49" s="350">
        <v>0</v>
      </c>
      <c r="N49" s="445">
        <f t="shared" si="2"/>
        <v>0</v>
      </c>
      <c r="O49" s="789">
        <f t="shared" si="0"/>
        <v>0</v>
      </c>
      <c r="P49" s="358">
        <f t="shared" si="1"/>
        <v>1888</v>
      </c>
      <c r="Q49" s="27">
        <v>0</v>
      </c>
      <c r="R49" s="25">
        <v>0</v>
      </c>
      <c r="S49" s="25">
        <v>0</v>
      </c>
      <c r="T49" s="359"/>
    </row>
    <row r="50" spans="1:20" ht="12.75">
      <c r="A50" s="25">
        <v>648</v>
      </c>
      <c r="B50" s="26" t="s">
        <v>78</v>
      </c>
      <c r="C50" s="25">
        <v>1740</v>
      </c>
      <c r="D50" s="155">
        <v>70</v>
      </c>
      <c r="E50" s="155">
        <v>70</v>
      </c>
      <c r="F50" s="283">
        <f>IF(C50&lt;972,E50+44,E50)</f>
        <v>70</v>
      </c>
      <c r="G50" s="283">
        <v>70</v>
      </c>
      <c r="H50" s="283">
        <v>70</v>
      </c>
      <c r="I50" s="380">
        <f t="shared" si="3"/>
        <v>648</v>
      </c>
      <c r="J50" s="380">
        <v>70</v>
      </c>
      <c r="K50" s="350">
        <v>517.6</v>
      </c>
      <c r="L50" s="350">
        <v>517.6</v>
      </c>
      <c r="M50" s="350">
        <v>517.6</v>
      </c>
      <c r="N50" s="445">
        <f t="shared" si="2"/>
        <v>517.6</v>
      </c>
      <c r="O50" s="789">
        <f t="shared" si="0"/>
        <v>517.6</v>
      </c>
      <c r="P50" s="358">
        <f t="shared" si="1"/>
        <v>2327.6</v>
      </c>
      <c r="Q50" s="27">
        <v>0</v>
      </c>
      <c r="R50" s="25">
        <v>0</v>
      </c>
      <c r="S50" s="25">
        <v>0</v>
      </c>
      <c r="T50" s="359"/>
    </row>
    <row r="51" spans="1:20" ht="12.75">
      <c r="A51" s="25">
        <v>649</v>
      </c>
      <c r="B51" s="26" t="s">
        <v>79</v>
      </c>
      <c r="C51" s="25">
        <v>971</v>
      </c>
      <c r="D51" s="155">
        <v>170</v>
      </c>
      <c r="E51" s="381">
        <v>216</v>
      </c>
      <c r="F51" s="283">
        <v>261</v>
      </c>
      <c r="G51" s="350">
        <v>327</v>
      </c>
      <c r="H51" s="350">
        <v>350</v>
      </c>
      <c r="I51" s="380">
        <f t="shared" si="3"/>
        <v>649</v>
      </c>
      <c r="J51" s="380">
        <v>414.7</v>
      </c>
      <c r="K51" s="350">
        <v>0</v>
      </c>
      <c r="L51" s="350">
        <v>0</v>
      </c>
      <c r="M51" s="350">
        <v>0</v>
      </c>
      <c r="N51" s="445">
        <f t="shared" si="2"/>
        <v>0</v>
      </c>
      <c r="O51" s="789">
        <f t="shared" si="0"/>
        <v>0</v>
      </c>
      <c r="P51" s="358">
        <f t="shared" si="1"/>
        <v>1298</v>
      </c>
      <c r="Q51" s="27">
        <v>0</v>
      </c>
      <c r="R51" s="25">
        <v>0</v>
      </c>
      <c r="S51" s="25">
        <v>0</v>
      </c>
      <c r="T51" s="359"/>
    </row>
    <row r="52" spans="1:20" ht="12.75">
      <c r="A52" s="25">
        <v>650</v>
      </c>
      <c r="B52" s="26" t="s">
        <v>80</v>
      </c>
      <c r="C52" s="25">
        <v>1740</v>
      </c>
      <c r="D52" s="155">
        <v>70</v>
      </c>
      <c r="E52" s="155">
        <v>70</v>
      </c>
      <c r="F52" s="283">
        <f>IF(C52&lt;972,E52+44,E52)</f>
        <v>70</v>
      </c>
      <c r="G52" s="283">
        <v>70</v>
      </c>
      <c r="H52" s="283">
        <v>70</v>
      </c>
      <c r="I52" s="380">
        <f t="shared" si="3"/>
        <v>650</v>
      </c>
      <c r="J52" s="380">
        <v>70</v>
      </c>
      <c r="K52" s="350">
        <v>0</v>
      </c>
      <c r="L52" s="350">
        <v>0</v>
      </c>
      <c r="M52" s="350">
        <v>0</v>
      </c>
      <c r="N52" s="445">
        <f t="shared" si="2"/>
        <v>0</v>
      </c>
      <c r="O52" s="789">
        <f t="shared" si="0"/>
        <v>0</v>
      </c>
      <c r="P52" s="358">
        <f t="shared" si="1"/>
        <v>1810</v>
      </c>
      <c r="Q52" s="27">
        <v>0</v>
      </c>
      <c r="R52" s="25">
        <v>750</v>
      </c>
      <c r="S52" s="25">
        <v>0</v>
      </c>
      <c r="T52" s="359"/>
    </row>
    <row r="53" spans="1:20" ht="12.75">
      <c r="A53" s="25">
        <v>651</v>
      </c>
      <c r="B53" s="26" t="s">
        <v>81</v>
      </c>
      <c r="C53" s="25">
        <v>971</v>
      </c>
      <c r="D53" s="155">
        <v>170</v>
      </c>
      <c r="E53" s="381">
        <v>216</v>
      </c>
      <c r="F53" s="283">
        <v>261</v>
      </c>
      <c r="G53" s="350">
        <v>327</v>
      </c>
      <c r="H53" s="350">
        <v>350</v>
      </c>
      <c r="I53" s="380">
        <f t="shared" si="3"/>
        <v>651</v>
      </c>
      <c r="J53" s="380">
        <v>414.7</v>
      </c>
      <c r="K53" s="350">
        <v>0</v>
      </c>
      <c r="L53" s="350">
        <v>0</v>
      </c>
      <c r="M53" s="350">
        <v>0</v>
      </c>
      <c r="N53" s="445">
        <f t="shared" si="2"/>
        <v>0</v>
      </c>
      <c r="O53" s="789">
        <f t="shared" si="0"/>
        <v>0</v>
      </c>
      <c r="P53" s="358">
        <f t="shared" si="1"/>
        <v>1298</v>
      </c>
      <c r="Q53" s="27">
        <v>0</v>
      </c>
      <c r="R53" s="25">
        <v>0</v>
      </c>
      <c r="S53" s="25">
        <v>0</v>
      </c>
      <c r="T53" s="359"/>
    </row>
    <row r="54" spans="1:20" ht="12.75">
      <c r="A54" s="25">
        <v>652</v>
      </c>
      <c r="B54" s="26" t="s">
        <v>82</v>
      </c>
      <c r="C54" s="25">
        <v>1250</v>
      </c>
      <c r="D54" s="155">
        <v>134</v>
      </c>
      <c r="E54" s="155">
        <v>134</v>
      </c>
      <c r="F54" s="283">
        <f aca="true" t="shared" si="6" ref="F54:F64">IF(C54&lt;972,E54+44,E54)</f>
        <v>134</v>
      </c>
      <c r="G54" s="283">
        <v>134</v>
      </c>
      <c r="H54" s="283">
        <v>134</v>
      </c>
      <c r="I54" s="380">
        <f t="shared" si="3"/>
        <v>652</v>
      </c>
      <c r="J54" s="380">
        <v>134</v>
      </c>
      <c r="K54" s="350">
        <v>0</v>
      </c>
      <c r="L54" s="350">
        <v>0</v>
      </c>
      <c r="M54" s="350">
        <v>0</v>
      </c>
      <c r="N54" s="445">
        <f t="shared" si="2"/>
        <v>0</v>
      </c>
      <c r="O54" s="789">
        <f t="shared" si="0"/>
        <v>0</v>
      </c>
      <c r="P54" s="358">
        <f t="shared" si="1"/>
        <v>1384</v>
      </c>
      <c r="Q54" s="27">
        <v>0</v>
      </c>
      <c r="R54" s="25">
        <v>0</v>
      </c>
      <c r="S54" s="25">
        <v>0</v>
      </c>
      <c r="T54" s="359"/>
    </row>
    <row r="55" spans="1:20" ht="12.75">
      <c r="A55" s="25">
        <v>653</v>
      </c>
      <c r="B55" s="26" t="s">
        <v>83</v>
      </c>
      <c r="C55" s="25">
        <v>1400</v>
      </c>
      <c r="D55" s="155">
        <v>114</v>
      </c>
      <c r="E55" s="155">
        <v>114</v>
      </c>
      <c r="F55" s="283">
        <f t="shared" si="6"/>
        <v>114</v>
      </c>
      <c r="G55" s="283">
        <v>114</v>
      </c>
      <c r="H55" s="283">
        <v>114</v>
      </c>
      <c r="I55" s="380">
        <f t="shared" si="3"/>
        <v>653</v>
      </c>
      <c r="J55" s="380">
        <v>114</v>
      </c>
      <c r="K55" s="350">
        <v>0</v>
      </c>
      <c r="L55" s="350">
        <v>0</v>
      </c>
      <c r="M55" s="350">
        <v>388</v>
      </c>
      <c r="N55" s="445">
        <f t="shared" si="2"/>
        <v>388</v>
      </c>
      <c r="O55" s="789">
        <f t="shared" si="0"/>
        <v>388</v>
      </c>
      <c r="P55" s="358">
        <f t="shared" si="1"/>
        <v>1902</v>
      </c>
      <c r="Q55" s="27">
        <v>0</v>
      </c>
      <c r="R55" s="25">
        <v>100</v>
      </c>
      <c r="S55" s="25">
        <v>0</v>
      </c>
      <c r="T55" s="359"/>
    </row>
    <row r="56" spans="1:20" ht="12.75">
      <c r="A56" s="25">
        <v>654</v>
      </c>
      <c r="B56" s="26" t="s">
        <v>84</v>
      </c>
      <c r="C56" s="25">
        <v>1690</v>
      </c>
      <c r="D56" s="155">
        <v>76</v>
      </c>
      <c r="E56" s="155">
        <v>76</v>
      </c>
      <c r="F56" s="283">
        <f t="shared" si="6"/>
        <v>76</v>
      </c>
      <c r="G56" s="283">
        <v>76</v>
      </c>
      <c r="H56" s="283">
        <v>76</v>
      </c>
      <c r="I56" s="380">
        <f t="shared" si="3"/>
        <v>654</v>
      </c>
      <c r="J56" s="380">
        <v>76</v>
      </c>
      <c r="K56" s="350">
        <v>0</v>
      </c>
      <c r="L56" s="350">
        <v>0</v>
      </c>
      <c r="M56" s="350">
        <v>453</v>
      </c>
      <c r="N56" s="445">
        <f t="shared" si="2"/>
        <v>453</v>
      </c>
      <c r="O56" s="789">
        <f t="shared" si="0"/>
        <v>453</v>
      </c>
      <c r="P56" s="358">
        <f t="shared" si="1"/>
        <v>2219</v>
      </c>
      <c r="Q56" s="27">
        <v>0</v>
      </c>
      <c r="R56" s="25">
        <v>300</v>
      </c>
      <c r="S56" s="25">
        <v>0</v>
      </c>
      <c r="T56" s="359"/>
    </row>
    <row r="57" spans="1:20" ht="12.75">
      <c r="A57" s="25">
        <v>655</v>
      </c>
      <c r="B57" s="26" t="s">
        <v>85</v>
      </c>
      <c r="C57" s="25">
        <v>1550</v>
      </c>
      <c r="D57" s="155">
        <v>94</v>
      </c>
      <c r="E57" s="155">
        <v>94</v>
      </c>
      <c r="F57" s="283">
        <f t="shared" si="6"/>
        <v>94</v>
      </c>
      <c r="G57" s="283">
        <v>94</v>
      </c>
      <c r="H57" s="283">
        <v>94</v>
      </c>
      <c r="I57" s="380">
        <f t="shared" si="3"/>
        <v>655</v>
      </c>
      <c r="J57" s="380">
        <v>94</v>
      </c>
      <c r="K57" s="350">
        <v>0</v>
      </c>
      <c r="L57" s="350">
        <v>0</v>
      </c>
      <c r="M57" s="350">
        <v>388</v>
      </c>
      <c r="N57" s="445">
        <f t="shared" si="2"/>
        <v>388</v>
      </c>
      <c r="O57" s="789">
        <f t="shared" si="0"/>
        <v>388</v>
      </c>
      <c r="P57" s="358">
        <f t="shared" si="1"/>
        <v>2032</v>
      </c>
      <c r="Q57" s="27">
        <v>0</v>
      </c>
      <c r="R57" s="25">
        <v>200</v>
      </c>
      <c r="S57" s="25">
        <v>0</v>
      </c>
      <c r="T57" s="359"/>
    </row>
    <row r="58" spans="1:20" ht="12.75">
      <c r="A58" s="25">
        <v>657</v>
      </c>
      <c r="B58" s="26" t="s">
        <v>86</v>
      </c>
      <c r="C58" s="25">
        <v>1340</v>
      </c>
      <c r="D58" s="155">
        <v>122</v>
      </c>
      <c r="E58" s="155">
        <v>122</v>
      </c>
      <c r="F58" s="283">
        <f t="shared" si="6"/>
        <v>122</v>
      </c>
      <c r="G58" s="283">
        <v>122</v>
      </c>
      <c r="H58" s="283">
        <v>122</v>
      </c>
      <c r="I58" s="380">
        <f t="shared" si="3"/>
        <v>657</v>
      </c>
      <c r="J58" s="380">
        <v>122</v>
      </c>
      <c r="K58" s="350">
        <v>0</v>
      </c>
      <c r="L58" s="350">
        <v>0</v>
      </c>
      <c r="M58" s="350">
        <v>0</v>
      </c>
      <c r="N58" s="445">
        <f t="shared" si="2"/>
        <v>0</v>
      </c>
      <c r="O58" s="789">
        <f t="shared" si="0"/>
        <v>0</v>
      </c>
      <c r="P58" s="358">
        <f t="shared" si="1"/>
        <v>1462</v>
      </c>
      <c r="Q58" s="27">
        <v>0</v>
      </c>
      <c r="R58" s="25">
        <v>0</v>
      </c>
      <c r="S58" s="25">
        <v>0</v>
      </c>
      <c r="T58" s="359"/>
    </row>
    <row r="59" spans="1:20" ht="12.75">
      <c r="A59" s="25">
        <v>658</v>
      </c>
      <c r="B59" s="26" t="s">
        <v>87</v>
      </c>
      <c r="C59" s="25">
        <v>1300</v>
      </c>
      <c r="D59" s="155">
        <v>127</v>
      </c>
      <c r="E59" s="155">
        <v>127</v>
      </c>
      <c r="F59" s="283">
        <f t="shared" si="6"/>
        <v>127</v>
      </c>
      <c r="G59" s="283">
        <v>127</v>
      </c>
      <c r="H59" s="283">
        <v>127</v>
      </c>
      <c r="I59" s="380">
        <f t="shared" si="3"/>
        <v>658</v>
      </c>
      <c r="J59" s="380">
        <v>127</v>
      </c>
      <c r="K59" s="350">
        <v>0</v>
      </c>
      <c r="L59" s="350">
        <v>0</v>
      </c>
      <c r="M59" s="350">
        <v>0</v>
      </c>
      <c r="N59" s="445">
        <f t="shared" si="2"/>
        <v>0</v>
      </c>
      <c r="O59" s="789">
        <f t="shared" si="0"/>
        <v>0</v>
      </c>
      <c r="P59" s="358">
        <f t="shared" si="1"/>
        <v>1427</v>
      </c>
      <c r="Q59" s="27">
        <v>0</v>
      </c>
      <c r="R59" s="25">
        <v>0</v>
      </c>
      <c r="S59" s="25">
        <v>0</v>
      </c>
      <c r="T59" s="359"/>
    </row>
    <row r="60" spans="1:20" ht="12.75">
      <c r="A60" s="25">
        <v>659</v>
      </c>
      <c r="B60" s="26" t="s">
        <v>88</v>
      </c>
      <c r="C60" s="25">
        <v>1340</v>
      </c>
      <c r="D60" s="155">
        <v>122</v>
      </c>
      <c r="E60" s="155">
        <v>122</v>
      </c>
      <c r="F60" s="283">
        <f t="shared" si="6"/>
        <v>122</v>
      </c>
      <c r="G60" s="283">
        <v>122</v>
      </c>
      <c r="H60" s="283">
        <v>122</v>
      </c>
      <c r="I60" s="380">
        <f t="shared" si="3"/>
        <v>659</v>
      </c>
      <c r="J60" s="380">
        <v>122</v>
      </c>
      <c r="K60" s="350">
        <v>0</v>
      </c>
      <c r="L60" s="350">
        <v>0</v>
      </c>
      <c r="M60" s="350">
        <v>0</v>
      </c>
      <c r="N60" s="445">
        <f t="shared" si="2"/>
        <v>0</v>
      </c>
      <c r="O60" s="789">
        <f t="shared" si="0"/>
        <v>0</v>
      </c>
      <c r="P60" s="358">
        <f t="shared" si="1"/>
        <v>1462</v>
      </c>
      <c r="Q60" s="27">
        <v>0</v>
      </c>
      <c r="R60" s="25">
        <v>0</v>
      </c>
      <c r="S60" s="25">
        <v>0</v>
      </c>
      <c r="T60" s="359"/>
    </row>
    <row r="61" spans="1:20" ht="12.75">
      <c r="A61" s="25">
        <v>660</v>
      </c>
      <c r="B61" s="26" t="s">
        <v>89</v>
      </c>
      <c r="C61" s="25">
        <v>1300</v>
      </c>
      <c r="D61" s="155">
        <v>127</v>
      </c>
      <c r="E61" s="155">
        <v>127</v>
      </c>
      <c r="F61" s="283">
        <f t="shared" si="6"/>
        <v>127</v>
      </c>
      <c r="G61" s="283">
        <v>127</v>
      </c>
      <c r="H61" s="283">
        <v>127</v>
      </c>
      <c r="I61" s="380">
        <f t="shared" si="3"/>
        <v>660</v>
      </c>
      <c r="J61" s="380">
        <v>127</v>
      </c>
      <c r="K61" s="350">
        <v>0</v>
      </c>
      <c r="L61" s="350">
        <v>0</v>
      </c>
      <c r="M61" s="350">
        <v>0</v>
      </c>
      <c r="N61" s="445">
        <f t="shared" si="2"/>
        <v>0</v>
      </c>
      <c r="O61" s="789">
        <f t="shared" si="0"/>
        <v>0</v>
      </c>
      <c r="P61" s="358">
        <f t="shared" si="1"/>
        <v>1427</v>
      </c>
      <c r="Q61" s="27">
        <v>0</v>
      </c>
      <c r="R61" s="25">
        <v>0</v>
      </c>
      <c r="S61" s="25">
        <v>0</v>
      </c>
      <c r="T61" s="359"/>
    </row>
    <row r="62" spans="1:20" ht="12.75">
      <c r="A62" s="25">
        <v>661</v>
      </c>
      <c r="B62" s="26" t="s">
        <v>90</v>
      </c>
      <c r="C62" s="25">
        <v>1300</v>
      </c>
      <c r="D62" s="155">
        <v>127</v>
      </c>
      <c r="E62" s="155">
        <v>127</v>
      </c>
      <c r="F62" s="283">
        <f t="shared" si="6"/>
        <v>127</v>
      </c>
      <c r="G62" s="283">
        <v>127</v>
      </c>
      <c r="H62" s="283">
        <v>127</v>
      </c>
      <c r="I62" s="380">
        <f t="shared" si="3"/>
        <v>661</v>
      </c>
      <c r="J62" s="380">
        <v>127</v>
      </c>
      <c r="K62" s="350">
        <v>0</v>
      </c>
      <c r="L62" s="350">
        <v>0</v>
      </c>
      <c r="M62" s="350">
        <v>0</v>
      </c>
      <c r="N62" s="445">
        <f t="shared" si="2"/>
        <v>0</v>
      </c>
      <c r="O62" s="789">
        <f t="shared" si="0"/>
        <v>0</v>
      </c>
      <c r="P62" s="358">
        <f t="shared" si="1"/>
        <v>1427</v>
      </c>
      <c r="Q62" s="27">
        <v>0</v>
      </c>
      <c r="R62" s="25">
        <v>0</v>
      </c>
      <c r="S62" s="25">
        <v>0</v>
      </c>
      <c r="T62" s="359"/>
    </row>
    <row r="63" spans="1:20" ht="12.75">
      <c r="A63" s="25">
        <v>662</v>
      </c>
      <c r="B63" s="26" t="s">
        <v>91</v>
      </c>
      <c r="C63" s="25">
        <v>1690</v>
      </c>
      <c r="D63" s="155">
        <v>76</v>
      </c>
      <c r="E63" s="155">
        <v>76</v>
      </c>
      <c r="F63" s="283">
        <f t="shared" si="6"/>
        <v>76</v>
      </c>
      <c r="G63" s="283">
        <v>76</v>
      </c>
      <c r="H63" s="283">
        <v>76</v>
      </c>
      <c r="I63" s="380">
        <f t="shared" si="3"/>
        <v>662</v>
      </c>
      <c r="J63" s="380">
        <v>76</v>
      </c>
      <c r="K63" s="350">
        <v>0</v>
      </c>
      <c r="L63" s="350">
        <v>0</v>
      </c>
      <c r="M63" s="350">
        <v>0</v>
      </c>
      <c r="N63" s="445">
        <f t="shared" si="2"/>
        <v>0</v>
      </c>
      <c r="O63" s="789">
        <f t="shared" si="0"/>
        <v>0</v>
      </c>
      <c r="P63" s="358">
        <f t="shared" si="1"/>
        <v>1766</v>
      </c>
      <c r="Q63" s="27">
        <v>0</v>
      </c>
      <c r="R63" s="25">
        <v>708</v>
      </c>
      <c r="S63" s="25">
        <v>0</v>
      </c>
      <c r="T63" s="359"/>
    </row>
    <row r="64" spans="1:20" ht="12.75">
      <c r="A64" s="25">
        <v>663</v>
      </c>
      <c r="B64" s="26" t="s">
        <v>92</v>
      </c>
      <c r="C64" s="25">
        <v>1500</v>
      </c>
      <c r="D64" s="155">
        <v>101</v>
      </c>
      <c r="E64" s="155">
        <v>101</v>
      </c>
      <c r="F64" s="283">
        <f t="shared" si="6"/>
        <v>101</v>
      </c>
      <c r="G64" s="283">
        <v>101</v>
      </c>
      <c r="H64" s="283">
        <v>101</v>
      </c>
      <c r="I64" s="380">
        <f t="shared" si="3"/>
        <v>663</v>
      </c>
      <c r="J64" s="380">
        <v>101</v>
      </c>
      <c r="K64" s="350">
        <v>0</v>
      </c>
      <c r="L64" s="350">
        <v>0</v>
      </c>
      <c r="M64" s="350">
        <v>388</v>
      </c>
      <c r="N64" s="445">
        <f t="shared" si="2"/>
        <v>388</v>
      </c>
      <c r="O64" s="789">
        <f t="shared" si="0"/>
        <v>388</v>
      </c>
      <c r="P64" s="358">
        <f t="shared" si="1"/>
        <v>1989</v>
      </c>
      <c r="Q64" s="27">
        <v>0</v>
      </c>
      <c r="R64" s="25">
        <v>0</v>
      </c>
      <c r="S64" s="25">
        <v>0</v>
      </c>
      <c r="T64" s="359"/>
    </row>
    <row r="65" spans="1:20" ht="12.75">
      <c r="A65" s="25">
        <v>664</v>
      </c>
      <c r="B65" s="26" t="s">
        <v>93</v>
      </c>
      <c r="C65" s="25">
        <v>971</v>
      </c>
      <c r="D65" s="155">
        <v>170</v>
      </c>
      <c r="E65" s="381">
        <v>216</v>
      </c>
      <c r="F65" s="283">
        <v>261</v>
      </c>
      <c r="G65" s="350">
        <v>327</v>
      </c>
      <c r="H65" s="350">
        <v>350</v>
      </c>
      <c r="I65" s="380">
        <f t="shared" si="3"/>
        <v>664</v>
      </c>
      <c r="J65" s="380">
        <v>414.7</v>
      </c>
      <c r="K65" s="350">
        <v>0</v>
      </c>
      <c r="L65" s="350">
        <v>0</v>
      </c>
      <c r="M65" s="350">
        <v>0</v>
      </c>
      <c r="N65" s="445">
        <f t="shared" si="2"/>
        <v>0</v>
      </c>
      <c r="O65" s="789">
        <f t="shared" si="0"/>
        <v>0</v>
      </c>
      <c r="P65" s="358">
        <f t="shared" si="1"/>
        <v>1298</v>
      </c>
      <c r="Q65" s="27">
        <v>0</v>
      </c>
      <c r="R65" s="25">
        <v>620</v>
      </c>
      <c r="S65" s="25">
        <v>0</v>
      </c>
      <c r="T65" s="359"/>
    </row>
    <row r="66" spans="1:20" ht="12.75">
      <c r="A66" s="25">
        <v>667</v>
      </c>
      <c r="B66" s="26" t="s">
        <v>94</v>
      </c>
      <c r="C66" s="25">
        <v>2000</v>
      </c>
      <c r="D66" s="155">
        <v>36</v>
      </c>
      <c r="E66" s="155">
        <v>36</v>
      </c>
      <c r="F66" s="283">
        <f aca="true" t="shared" si="7" ref="F66:F92">IF(C66&lt;972,E66+44,E66)</f>
        <v>36</v>
      </c>
      <c r="G66" s="283">
        <v>36</v>
      </c>
      <c r="H66" s="283">
        <v>36</v>
      </c>
      <c r="I66" s="380">
        <f t="shared" si="3"/>
        <v>667</v>
      </c>
      <c r="J66" s="380">
        <v>36</v>
      </c>
      <c r="K66" s="350">
        <v>647</v>
      </c>
      <c r="L66" s="350">
        <v>647</v>
      </c>
      <c r="M66" s="350">
        <v>647</v>
      </c>
      <c r="N66" s="445">
        <f t="shared" si="2"/>
        <v>647</v>
      </c>
      <c r="O66" s="789">
        <f t="shared" si="0"/>
        <v>647</v>
      </c>
      <c r="P66" s="358">
        <f t="shared" si="1"/>
        <v>2683</v>
      </c>
      <c r="Q66" s="27">
        <v>0</v>
      </c>
      <c r="R66" s="25">
        <v>830</v>
      </c>
      <c r="S66" s="25">
        <v>0</v>
      </c>
      <c r="T66" s="359"/>
    </row>
    <row r="67" spans="1:20" ht="12.75">
      <c r="A67" s="25">
        <v>668</v>
      </c>
      <c r="B67" s="26" t="s">
        <v>95</v>
      </c>
      <c r="C67" s="25">
        <v>1840</v>
      </c>
      <c r="D67" s="155">
        <v>57</v>
      </c>
      <c r="E67" s="155">
        <v>57</v>
      </c>
      <c r="F67" s="283">
        <f t="shared" si="7"/>
        <v>57</v>
      </c>
      <c r="G67" s="283">
        <v>57</v>
      </c>
      <c r="H67" s="283">
        <v>57</v>
      </c>
      <c r="I67" s="380">
        <f t="shared" si="3"/>
        <v>668</v>
      </c>
      <c r="J67" s="380">
        <v>57</v>
      </c>
      <c r="K67" s="350">
        <v>582.3</v>
      </c>
      <c r="L67" s="350">
        <v>582.3</v>
      </c>
      <c r="M67" s="350">
        <v>582.3</v>
      </c>
      <c r="N67" s="445">
        <f t="shared" si="2"/>
        <v>582.3</v>
      </c>
      <c r="O67" s="789">
        <f t="shared" si="2"/>
        <v>582.3</v>
      </c>
      <c r="P67" s="358">
        <f aca="true" t="shared" si="8" ref="P67:P130">C67+G67+M67</f>
        <v>2479.3</v>
      </c>
      <c r="Q67" s="27">
        <v>0</v>
      </c>
      <c r="R67" s="25">
        <v>830</v>
      </c>
      <c r="S67" s="25">
        <v>0</v>
      </c>
      <c r="T67" s="359"/>
    </row>
    <row r="68" spans="1:20" ht="12.75">
      <c r="A68" s="25">
        <v>669</v>
      </c>
      <c r="B68" s="26" t="s">
        <v>96</v>
      </c>
      <c r="C68" s="25">
        <v>1680</v>
      </c>
      <c r="D68" s="155">
        <v>77</v>
      </c>
      <c r="E68" s="155">
        <v>77</v>
      </c>
      <c r="F68" s="283">
        <f t="shared" si="7"/>
        <v>77</v>
      </c>
      <c r="G68" s="283">
        <v>77</v>
      </c>
      <c r="H68" s="283">
        <v>77</v>
      </c>
      <c r="I68" s="380">
        <f t="shared" si="3"/>
        <v>669</v>
      </c>
      <c r="J68" s="380">
        <v>77</v>
      </c>
      <c r="K68" s="350">
        <v>452.9</v>
      </c>
      <c r="L68" s="350">
        <v>452.9</v>
      </c>
      <c r="M68" s="350">
        <v>452.9</v>
      </c>
      <c r="N68" s="445">
        <f aca="true" t="shared" si="9" ref="N68:O97">M68</f>
        <v>452.9</v>
      </c>
      <c r="O68" s="789">
        <f t="shared" si="9"/>
        <v>452.9</v>
      </c>
      <c r="P68" s="358">
        <f t="shared" si="8"/>
        <v>2209.9</v>
      </c>
      <c r="Q68" s="27">
        <v>0</v>
      </c>
      <c r="R68" s="25">
        <v>830</v>
      </c>
      <c r="S68" s="25">
        <v>0</v>
      </c>
      <c r="T68" s="359"/>
    </row>
    <row r="69" spans="1:20" ht="12.75">
      <c r="A69" s="25">
        <v>670</v>
      </c>
      <c r="B69" s="26" t="s">
        <v>97</v>
      </c>
      <c r="C69" s="25">
        <v>1740</v>
      </c>
      <c r="D69" s="155">
        <v>70</v>
      </c>
      <c r="E69" s="155">
        <v>70</v>
      </c>
      <c r="F69" s="283">
        <f t="shared" si="7"/>
        <v>70</v>
      </c>
      <c r="G69" s="283">
        <v>70</v>
      </c>
      <c r="H69" s="283">
        <v>70</v>
      </c>
      <c r="I69" s="380">
        <f t="shared" si="3"/>
        <v>670</v>
      </c>
      <c r="J69" s="380">
        <v>70</v>
      </c>
      <c r="K69" s="350">
        <v>517.6</v>
      </c>
      <c r="L69" s="350">
        <v>517.6</v>
      </c>
      <c r="M69" s="350">
        <v>517.6</v>
      </c>
      <c r="N69" s="445">
        <f t="shared" si="9"/>
        <v>517.6</v>
      </c>
      <c r="O69" s="789">
        <f t="shared" si="9"/>
        <v>517.6</v>
      </c>
      <c r="P69" s="358">
        <f t="shared" si="8"/>
        <v>2327.6</v>
      </c>
      <c r="Q69" s="27">
        <v>0</v>
      </c>
      <c r="R69" s="25">
        <v>750</v>
      </c>
      <c r="S69" s="25">
        <v>0</v>
      </c>
      <c r="T69" s="359"/>
    </row>
    <row r="70" spans="1:20" ht="12.75">
      <c r="A70" s="25">
        <v>671</v>
      </c>
      <c r="B70" s="26" t="s">
        <v>98</v>
      </c>
      <c r="C70" s="25">
        <v>1610</v>
      </c>
      <c r="D70" s="155">
        <v>87</v>
      </c>
      <c r="E70" s="155">
        <v>87</v>
      </c>
      <c r="F70" s="283">
        <f t="shared" si="7"/>
        <v>87</v>
      </c>
      <c r="G70" s="283">
        <v>87</v>
      </c>
      <c r="H70" s="283">
        <v>87</v>
      </c>
      <c r="I70" s="380">
        <f aca="true" t="shared" si="10" ref="I70:I133">A70</f>
        <v>671</v>
      </c>
      <c r="J70" s="380">
        <v>87</v>
      </c>
      <c r="K70" s="350">
        <v>0</v>
      </c>
      <c r="L70" s="350">
        <v>0</v>
      </c>
      <c r="M70" s="350">
        <v>0</v>
      </c>
      <c r="N70" s="445">
        <f t="shared" si="9"/>
        <v>0</v>
      </c>
      <c r="O70" s="789">
        <f t="shared" si="9"/>
        <v>0</v>
      </c>
      <c r="P70" s="358">
        <f t="shared" si="8"/>
        <v>1697</v>
      </c>
      <c r="Q70" s="27">
        <v>0</v>
      </c>
      <c r="R70" s="25">
        <v>750</v>
      </c>
      <c r="S70" s="25">
        <v>0</v>
      </c>
      <c r="T70" s="359"/>
    </row>
    <row r="71" spans="1:20" ht="12.75">
      <c r="A71" s="25">
        <v>672</v>
      </c>
      <c r="B71" s="26" t="s">
        <v>99</v>
      </c>
      <c r="C71" s="25">
        <v>2000</v>
      </c>
      <c r="D71" s="155">
        <v>36</v>
      </c>
      <c r="E71" s="155">
        <v>36</v>
      </c>
      <c r="F71" s="283">
        <f t="shared" si="7"/>
        <v>36</v>
      </c>
      <c r="G71" s="283">
        <v>36</v>
      </c>
      <c r="H71" s="283">
        <v>36</v>
      </c>
      <c r="I71" s="380">
        <f t="shared" si="10"/>
        <v>672</v>
      </c>
      <c r="J71" s="380">
        <v>36</v>
      </c>
      <c r="K71" s="350">
        <v>647</v>
      </c>
      <c r="L71" s="350">
        <v>647</v>
      </c>
      <c r="M71" s="350">
        <v>647</v>
      </c>
      <c r="N71" s="445">
        <f t="shared" si="9"/>
        <v>647</v>
      </c>
      <c r="O71" s="789">
        <f t="shared" si="9"/>
        <v>647</v>
      </c>
      <c r="P71" s="358">
        <f t="shared" si="8"/>
        <v>2683</v>
      </c>
      <c r="Q71" s="27">
        <v>0</v>
      </c>
      <c r="R71" s="25">
        <v>300</v>
      </c>
      <c r="S71" s="25">
        <v>0</v>
      </c>
      <c r="T71" s="359"/>
    </row>
    <row r="72" spans="1:20" ht="12.75">
      <c r="A72" s="25">
        <v>673</v>
      </c>
      <c r="B72" s="26" t="s">
        <v>100</v>
      </c>
      <c r="C72" s="25">
        <v>1840</v>
      </c>
      <c r="D72" s="155">
        <v>57</v>
      </c>
      <c r="E72" s="155">
        <v>57</v>
      </c>
      <c r="F72" s="283">
        <f t="shared" si="7"/>
        <v>57</v>
      </c>
      <c r="G72" s="283">
        <v>57</v>
      </c>
      <c r="H72" s="283">
        <v>57</v>
      </c>
      <c r="I72" s="380">
        <f t="shared" si="10"/>
        <v>673</v>
      </c>
      <c r="J72" s="380">
        <v>57</v>
      </c>
      <c r="K72" s="350">
        <v>582.3</v>
      </c>
      <c r="L72" s="350">
        <v>582.3</v>
      </c>
      <c r="M72" s="350">
        <v>582.3</v>
      </c>
      <c r="N72" s="445">
        <f t="shared" si="9"/>
        <v>582.3</v>
      </c>
      <c r="O72" s="789">
        <f t="shared" si="9"/>
        <v>582.3</v>
      </c>
      <c r="P72" s="358">
        <f t="shared" si="8"/>
        <v>2479.3</v>
      </c>
      <c r="Q72" s="27">
        <v>0</v>
      </c>
      <c r="R72" s="25">
        <v>300</v>
      </c>
      <c r="S72" s="25">
        <v>0</v>
      </c>
      <c r="T72" s="359"/>
    </row>
    <row r="73" spans="1:20" ht="12.75">
      <c r="A73" s="25">
        <v>674</v>
      </c>
      <c r="B73" s="26" t="s">
        <v>101</v>
      </c>
      <c r="C73" s="25">
        <v>1680</v>
      </c>
      <c r="D73" s="155">
        <v>77</v>
      </c>
      <c r="E73" s="155">
        <v>77</v>
      </c>
      <c r="F73" s="283">
        <f t="shared" si="7"/>
        <v>77</v>
      </c>
      <c r="G73" s="283">
        <v>77</v>
      </c>
      <c r="H73" s="283">
        <v>77</v>
      </c>
      <c r="I73" s="380">
        <f t="shared" si="10"/>
        <v>674</v>
      </c>
      <c r="J73" s="380">
        <v>77</v>
      </c>
      <c r="K73" s="350">
        <v>452.9</v>
      </c>
      <c r="L73" s="350">
        <v>452.9</v>
      </c>
      <c r="M73" s="350">
        <v>452.9</v>
      </c>
      <c r="N73" s="445">
        <f t="shared" si="9"/>
        <v>452.9</v>
      </c>
      <c r="O73" s="789">
        <f t="shared" si="9"/>
        <v>452.9</v>
      </c>
      <c r="P73" s="358">
        <f t="shared" si="8"/>
        <v>2209.9</v>
      </c>
      <c r="Q73" s="27">
        <v>0</v>
      </c>
      <c r="R73" s="25">
        <v>300</v>
      </c>
      <c r="S73" s="25">
        <v>0</v>
      </c>
      <c r="T73" s="359"/>
    </row>
    <row r="74" spans="1:20" ht="12.75">
      <c r="A74" s="25">
        <v>675</v>
      </c>
      <c r="B74" s="26" t="s">
        <v>420</v>
      </c>
      <c r="C74" s="25">
        <v>1740</v>
      </c>
      <c r="D74" s="155">
        <v>70</v>
      </c>
      <c r="E74" s="155">
        <v>70</v>
      </c>
      <c r="F74" s="283">
        <f t="shared" si="7"/>
        <v>70</v>
      </c>
      <c r="G74" s="283">
        <v>70</v>
      </c>
      <c r="H74" s="283">
        <v>70</v>
      </c>
      <c r="I74" s="380">
        <f t="shared" si="10"/>
        <v>675</v>
      </c>
      <c r="J74" s="380">
        <v>70</v>
      </c>
      <c r="K74" s="350">
        <v>0</v>
      </c>
      <c r="L74" s="350">
        <v>0</v>
      </c>
      <c r="M74" s="350">
        <v>517</v>
      </c>
      <c r="N74" s="445">
        <f t="shared" si="9"/>
        <v>517</v>
      </c>
      <c r="O74" s="789">
        <f t="shared" si="9"/>
        <v>517</v>
      </c>
      <c r="P74" s="358">
        <f t="shared" si="8"/>
        <v>2327</v>
      </c>
      <c r="Q74" s="27">
        <v>0</v>
      </c>
      <c r="R74" s="25">
        <v>725</v>
      </c>
      <c r="S74" s="25">
        <v>0</v>
      </c>
      <c r="T74" s="359"/>
    </row>
    <row r="75" spans="1:20" ht="12.75">
      <c r="A75" s="25">
        <v>676</v>
      </c>
      <c r="B75" s="26" t="s">
        <v>421</v>
      </c>
      <c r="C75" s="25">
        <v>1610</v>
      </c>
      <c r="D75" s="155">
        <v>87</v>
      </c>
      <c r="E75" s="155">
        <v>87</v>
      </c>
      <c r="F75" s="283">
        <f t="shared" si="7"/>
        <v>87</v>
      </c>
      <c r="G75" s="283">
        <v>87</v>
      </c>
      <c r="H75" s="283">
        <v>87</v>
      </c>
      <c r="I75" s="380">
        <f t="shared" si="10"/>
        <v>676</v>
      </c>
      <c r="J75" s="380">
        <v>87</v>
      </c>
      <c r="K75" s="350">
        <v>0</v>
      </c>
      <c r="L75" s="350">
        <v>0</v>
      </c>
      <c r="M75" s="350">
        <v>388</v>
      </c>
      <c r="N75" s="445">
        <f t="shared" si="9"/>
        <v>388</v>
      </c>
      <c r="O75" s="789">
        <f t="shared" si="9"/>
        <v>388</v>
      </c>
      <c r="P75" s="358">
        <f t="shared" si="8"/>
        <v>2085</v>
      </c>
      <c r="Q75" s="27">
        <v>0</v>
      </c>
      <c r="R75" s="25">
        <v>725</v>
      </c>
      <c r="S75" s="25">
        <v>0</v>
      </c>
      <c r="T75" s="359"/>
    </row>
    <row r="76" spans="1:20" ht="12.75">
      <c r="A76" s="25">
        <v>677</v>
      </c>
      <c r="B76" s="26" t="s">
        <v>422</v>
      </c>
      <c r="C76" s="25">
        <v>1500</v>
      </c>
      <c r="D76" s="155">
        <v>101</v>
      </c>
      <c r="E76" s="155">
        <v>101</v>
      </c>
      <c r="F76" s="283">
        <f t="shared" si="7"/>
        <v>101</v>
      </c>
      <c r="G76" s="283">
        <v>101</v>
      </c>
      <c r="H76" s="283">
        <v>101</v>
      </c>
      <c r="I76" s="380">
        <f t="shared" si="10"/>
        <v>677</v>
      </c>
      <c r="J76" s="380">
        <v>101</v>
      </c>
      <c r="K76" s="350">
        <v>0</v>
      </c>
      <c r="L76" s="350">
        <v>0</v>
      </c>
      <c r="M76" s="350">
        <v>388</v>
      </c>
      <c r="N76" s="445">
        <f t="shared" si="9"/>
        <v>388</v>
      </c>
      <c r="O76" s="789">
        <f t="shared" si="9"/>
        <v>388</v>
      </c>
      <c r="P76" s="358">
        <f t="shared" si="8"/>
        <v>1989</v>
      </c>
      <c r="Q76" s="27">
        <v>0</v>
      </c>
      <c r="R76" s="25">
        <v>725</v>
      </c>
      <c r="S76" s="25">
        <v>0</v>
      </c>
      <c r="T76" s="359"/>
    </row>
    <row r="77" spans="1:20" ht="12.75">
      <c r="A77" s="25">
        <v>678</v>
      </c>
      <c r="B77" s="26" t="s">
        <v>102</v>
      </c>
      <c r="C77" s="25">
        <v>1320</v>
      </c>
      <c r="D77" s="155">
        <v>124</v>
      </c>
      <c r="E77" s="155">
        <v>124</v>
      </c>
      <c r="F77" s="283">
        <f t="shared" si="7"/>
        <v>124</v>
      </c>
      <c r="G77" s="283">
        <v>124</v>
      </c>
      <c r="H77" s="283">
        <v>124</v>
      </c>
      <c r="I77" s="380">
        <f t="shared" si="10"/>
        <v>678</v>
      </c>
      <c r="J77" s="380">
        <v>124</v>
      </c>
      <c r="K77" s="350">
        <v>0</v>
      </c>
      <c r="L77" s="350">
        <v>0</v>
      </c>
      <c r="M77" s="350">
        <v>0</v>
      </c>
      <c r="N77" s="445">
        <f t="shared" si="9"/>
        <v>0</v>
      </c>
      <c r="O77" s="789">
        <f t="shared" si="9"/>
        <v>0</v>
      </c>
      <c r="P77" s="358">
        <f t="shared" si="8"/>
        <v>1444</v>
      </c>
      <c r="Q77" s="27">
        <v>0</v>
      </c>
      <c r="R77" s="25">
        <v>590</v>
      </c>
      <c r="S77" s="25">
        <v>0</v>
      </c>
      <c r="T77" s="359"/>
    </row>
    <row r="78" spans="1:20" ht="12.75">
      <c r="A78" s="25">
        <v>679</v>
      </c>
      <c r="B78" s="26" t="s">
        <v>103</v>
      </c>
      <c r="C78" s="25">
        <v>1690</v>
      </c>
      <c r="D78" s="155">
        <v>76</v>
      </c>
      <c r="E78" s="155">
        <v>76</v>
      </c>
      <c r="F78" s="283">
        <f t="shared" si="7"/>
        <v>76</v>
      </c>
      <c r="G78" s="283">
        <v>76</v>
      </c>
      <c r="H78" s="283">
        <v>76</v>
      </c>
      <c r="I78" s="380">
        <f t="shared" si="10"/>
        <v>679</v>
      </c>
      <c r="J78" s="380">
        <v>76</v>
      </c>
      <c r="K78" s="350">
        <v>0</v>
      </c>
      <c r="L78" s="350">
        <v>0</v>
      </c>
      <c r="M78" s="350">
        <v>0</v>
      </c>
      <c r="N78" s="445">
        <f t="shared" si="9"/>
        <v>0</v>
      </c>
      <c r="O78" s="789">
        <f t="shared" si="9"/>
        <v>0</v>
      </c>
      <c r="P78" s="358">
        <f t="shared" si="8"/>
        <v>1766</v>
      </c>
      <c r="Q78" s="27">
        <v>0</v>
      </c>
      <c r="R78" s="25">
        <v>708</v>
      </c>
      <c r="S78" s="25">
        <v>0</v>
      </c>
      <c r="T78" s="359"/>
    </row>
    <row r="79" spans="1:20" ht="12.75">
      <c r="A79" s="25">
        <v>680</v>
      </c>
      <c r="B79" s="26" t="s">
        <v>104</v>
      </c>
      <c r="C79" s="25">
        <v>1550</v>
      </c>
      <c r="D79" s="155">
        <v>94</v>
      </c>
      <c r="E79" s="155">
        <v>94</v>
      </c>
      <c r="F79" s="283">
        <f t="shared" si="7"/>
        <v>94</v>
      </c>
      <c r="G79" s="283">
        <v>94</v>
      </c>
      <c r="H79" s="283">
        <v>94</v>
      </c>
      <c r="I79" s="380">
        <f t="shared" si="10"/>
        <v>680</v>
      </c>
      <c r="J79" s="380">
        <v>94</v>
      </c>
      <c r="K79" s="350">
        <v>0</v>
      </c>
      <c r="L79" s="350">
        <v>0</v>
      </c>
      <c r="M79" s="350">
        <v>0</v>
      </c>
      <c r="N79" s="445">
        <f t="shared" si="9"/>
        <v>0</v>
      </c>
      <c r="O79" s="789">
        <f t="shared" si="9"/>
        <v>0</v>
      </c>
      <c r="P79" s="358">
        <f t="shared" si="8"/>
        <v>1644</v>
      </c>
      <c r="Q79" s="27">
        <v>0</v>
      </c>
      <c r="R79" s="25">
        <v>708</v>
      </c>
      <c r="S79" s="25">
        <v>0</v>
      </c>
      <c r="T79" s="359"/>
    </row>
    <row r="80" spans="1:20" ht="12.75">
      <c r="A80" s="25">
        <v>681</v>
      </c>
      <c r="B80" s="26" t="s">
        <v>105</v>
      </c>
      <c r="C80" s="25">
        <v>1400</v>
      </c>
      <c r="D80" s="155">
        <v>114</v>
      </c>
      <c r="E80" s="155">
        <v>114</v>
      </c>
      <c r="F80" s="283">
        <f t="shared" si="7"/>
        <v>114</v>
      </c>
      <c r="G80" s="283">
        <v>114</v>
      </c>
      <c r="H80" s="283">
        <v>114</v>
      </c>
      <c r="I80" s="380">
        <f t="shared" si="10"/>
        <v>681</v>
      </c>
      <c r="J80" s="380">
        <v>114</v>
      </c>
      <c r="K80" s="350">
        <v>0</v>
      </c>
      <c r="L80" s="350">
        <v>0</v>
      </c>
      <c r="M80" s="350">
        <v>0</v>
      </c>
      <c r="N80" s="445">
        <f t="shared" si="9"/>
        <v>0</v>
      </c>
      <c r="O80" s="789">
        <f t="shared" si="9"/>
        <v>0</v>
      </c>
      <c r="P80" s="358">
        <f t="shared" si="8"/>
        <v>1514</v>
      </c>
      <c r="Q80" s="27">
        <v>0</v>
      </c>
      <c r="R80" s="25">
        <v>708</v>
      </c>
      <c r="S80" s="25">
        <v>0</v>
      </c>
      <c r="T80" s="359"/>
    </row>
    <row r="81" spans="1:20" ht="12.75">
      <c r="A81" s="25">
        <v>682</v>
      </c>
      <c r="B81" s="28" t="s">
        <v>106</v>
      </c>
      <c r="C81" s="25">
        <v>1170</v>
      </c>
      <c r="D81" s="155">
        <v>144</v>
      </c>
      <c r="E81" s="155">
        <v>144</v>
      </c>
      <c r="F81" s="283">
        <f t="shared" si="7"/>
        <v>144</v>
      </c>
      <c r="G81" s="283">
        <v>144</v>
      </c>
      <c r="H81" s="283">
        <v>144</v>
      </c>
      <c r="I81" s="380">
        <f t="shared" si="10"/>
        <v>682</v>
      </c>
      <c r="J81" s="380">
        <v>144</v>
      </c>
      <c r="K81" s="350">
        <v>0</v>
      </c>
      <c r="L81" s="350">
        <v>0</v>
      </c>
      <c r="M81" s="350">
        <v>0</v>
      </c>
      <c r="N81" s="445">
        <f t="shared" si="9"/>
        <v>0</v>
      </c>
      <c r="O81" s="789">
        <f t="shared" si="9"/>
        <v>0</v>
      </c>
      <c r="P81" s="358">
        <f t="shared" si="8"/>
        <v>1314</v>
      </c>
      <c r="Q81" s="27">
        <v>0</v>
      </c>
      <c r="R81" s="25">
        <v>580</v>
      </c>
      <c r="S81" s="25">
        <v>0</v>
      </c>
      <c r="T81" s="359"/>
    </row>
    <row r="82" spans="1:20" ht="12.75">
      <c r="A82" s="25">
        <v>683</v>
      </c>
      <c r="B82" s="28" t="s">
        <v>107</v>
      </c>
      <c r="C82" s="25">
        <v>1170</v>
      </c>
      <c r="D82" s="155">
        <v>144</v>
      </c>
      <c r="E82" s="155">
        <v>144</v>
      </c>
      <c r="F82" s="283">
        <f t="shared" si="7"/>
        <v>144</v>
      </c>
      <c r="G82" s="283">
        <v>144</v>
      </c>
      <c r="H82" s="283">
        <v>144</v>
      </c>
      <c r="I82" s="380">
        <f t="shared" si="10"/>
        <v>683</v>
      </c>
      <c r="J82" s="380">
        <v>144</v>
      </c>
      <c r="K82" s="350">
        <v>0</v>
      </c>
      <c r="L82" s="350">
        <v>0</v>
      </c>
      <c r="M82" s="350">
        <v>0</v>
      </c>
      <c r="N82" s="445">
        <f t="shared" si="9"/>
        <v>0</v>
      </c>
      <c r="O82" s="789">
        <f t="shared" si="9"/>
        <v>0</v>
      </c>
      <c r="P82" s="358">
        <f t="shared" si="8"/>
        <v>1314</v>
      </c>
      <c r="Q82" s="27">
        <v>0</v>
      </c>
      <c r="R82" s="25">
        <v>580</v>
      </c>
      <c r="S82" s="25">
        <v>0</v>
      </c>
      <c r="T82" s="359"/>
    </row>
    <row r="83" spans="1:20" ht="12.75">
      <c r="A83" s="25">
        <v>684</v>
      </c>
      <c r="B83" s="26" t="s">
        <v>108</v>
      </c>
      <c r="C83" s="25">
        <v>1170</v>
      </c>
      <c r="D83" s="155">
        <v>144</v>
      </c>
      <c r="E83" s="155">
        <v>144</v>
      </c>
      <c r="F83" s="283">
        <f t="shared" si="7"/>
        <v>144</v>
      </c>
      <c r="G83" s="283">
        <v>144</v>
      </c>
      <c r="H83" s="283">
        <v>144</v>
      </c>
      <c r="I83" s="380">
        <f t="shared" si="10"/>
        <v>684</v>
      </c>
      <c r="J83" s="380">
        <v>144</v>
      </c>
      <c r="K83" s="350">
        <v>0</v>
      </c>
      <c r="L83" s="350">
        <v>0</v>
      </c>
      <c r="M83" s="350">
        <v>0</v>
      </c>
      <c r="N83" s="445">
        <f t="shared" si="9"/>
        <v>0</v>
      </c>
      <c r="O83" s="789">
        <f t="shared" si="9"/>
        <v>0</v>
      </c>
      <c r="P83" s="358">
        <f t="shared" si="8"/>
        <v>1314</v>
      </c>
      <c r="Q83" s="27">
        <v>0</v>
      </c>
      <c r="R83" s="25">
        <v>580</v>
      </c>
      <c r="S83" s="25">
        <v>0</v>
      </c>
      <c r="T83" s="359"/>
    </row>
    <row r="84" spans="1:20" ht="12.75">
      <c r="A84" s="25">
        <v>685</v>
      </c>
      <c r="B84" s="26" t="s">
        <v>109</v>
      </c>
      <c r="C84" s="25">
        <v>1500</v>
      </c>
      <c r="D84" s="155">
        <v>101</v>
      </c>
      <c r="E84" s="155">
        <v>101</v>
      </c>
      <c r="F84" s="283">
        <f t="shared" si="7"/>
        <v>101</v>
      </c>
      <c r="G84" s="283">
        <v>101</v>
      </c>
      <c r="H84" s="283">
        <v>101</v>
      </c>
      <c r="I84" s="380">
        <f t="shared" si="10"/>
        <v>685</v>
      </c>
      <c r="J84" s="380">
        <v>101</v>
      </c>
      <c r="K84" s="350">
        <v>388.2</v>
      </c>
      <c r="L84" s="350">
        <v>388.2</v>
      </c>
      <c r="M84" s="350">
        <v>388.2</v>
      </c>
      <c r="N84" s="445">
        <f t="shared" si="9"/>
        <v>388.2</v>
      </c>
      <c r="O84" s="789">
        <f t="shared" si="9"/>
        <v>388.2</v>
      </c>
      <c r="P84" s="358">
        <f t="shared" si="8"/>
        <v>1989.2</v>
      </c>
      <c r="Q84" s="27">
        <v>0</v>
      </c>
      <c r="R84" s="25">
        <v>750</v>
      </c>
      <c r="S84" s="25">
        <v>0</v>
      </c>
      <c r="T84" s="359"/>
    </row>
    <row r="85" spans="1:20" ht="12.75">
      <c r="A85" s="25">
        <v>686</v>
      </c>
      <c r="B85" s="26" t="s">
        <v>110</v>
      </c>
      <c r="C85" s="25">
        <v>2000</v>
      </c>
      <c r="D85" s="155">
        <v>36</v>
      </c>
      <c r="E85" s="155">
        <v>36</v>
      </c>
      <c r="F85" s="283">
        <f t="shared" si="7"/>
        <v>36</v>
      </c>
      <c r="G85" s="283">
        <v>36</v>
      </c>
      <c r="H85" s="283">
        <v>36</v>
      </c>
      <c r="I85" s="380">
        <f t="shared" si="10"/>
        <v>686</v>
      </c>
      <c r="J85" s="380">
        <v>36</v>
      </c>
      <c r="K85" s="350">
        <v>647</v>
      </c>
      <c r="L85" s="350">
        <v>647</v>
      </c>
      <c r="M85" s="350">
        <v>647</v>
      </c>
      <c r="N85" s="445">
        <f t="shared" si="9"/>
        <v>647</v>
      </c>
      <c r="O85" s="789">
        <f t="shared" si="9"/>
        <v>647</v>
      </c>
      <c r="P85" s="358">
        <f t="shared" si="8"/>
        <v>2683</v>
      </c>
      <c r="Q85" s="27">
        <v>0</v>
      </c>
      <c r="R85" s="25">
        <v>600</v>
      </c>
      <c r="S85" s="25">
        <v>0</v>
      </c>
      <c r="T85" s="359"/>
    </row>
    <row r="86" spans="1:20" ht="12.75">
      <c r="A86" s="25">
        <v>687</v>
      </c>
      <c r="B86" s="26" t="s">
        <v>111</v>
      </c>
      <c r="C86" s="25">
        <v>1840</v>
      </c>
      <c r="D86" s="155">
        <v>57</v>
      </c>
      <c r="E86" s="155">
        <v>57</v>
      </c>
      <c r="F86" s="283">
        <f t="shared" si="7"/>
        <v>57</v>
      </c>
      <c r="G86" s="283">
        <v>57</v>
      </c>
      <c r="H86" s="283">
        <v>57</v>
      </c>
      <c r="I86" s="380">
        <f t="shared" si="10"/>
        <v>687</v>
      </c>
      <c r="J86" s="380">
        <v>57</v>
      </c>
      <c r="K86" s="350">
        <v>582.3</v>
      </c>
      <c r="L86" s="350">
        <v>582.3</v>
      </c>
      <c r="M86" s="350">
        <v>582.3</v>
      </c>
      <c r="N86" s="445">
        <f t="shared" si="9"/>
        <v>582.3</v>
      </c>
      <c r="O86" s="789">
        <f t="shared" si="9"/>
        <v>582.3</v>
      </c>
      <c r="P86" s="358">
        <f t="shared" si="8"/>
        <v>2479.3</v>
      </c>
      <c r="Q86" s="27">
        <v>0</v>
      </c>
      <c r="R86" s="25">
        <v>600</v>
      </c>
      <c r="S86" s="25">
        <v>0</v>
      </c>
      <c r="T86" s="359"/>
    </row>
    <row r="87" spans="1:20" ht="12.75">
      <c r="A87" s="25">
        <v>688</v>
      </c>
      <c r="B87" s="26" t="s">
        <v>112</v>
      </c>
      <c r="C87" s="25">
        <v>1680</v>
      </c>
      <c r="D87" s="155">
        <v>77</v>
      </c>
      <c r="E87" s="155">
        <v>77</v>
      </c>
      <c r="F87" s="283">
        <f t="shared" si="7"/>
        <v>77</v>
      </c>
      <c r="G87" s="283">
        <v>77</v>
      </c>
      <c r="H87" s="283">
        <v>77</v>
      </c>
      <c r="I87" s="380">
        <f t="shared" si="10"/>
        <v>688</v>
      </c>
      <c r="J87" s="380">
        <v>77</v>
      </c>
      <c r="K87" s="350">
        <v>0</v>
      </c>
      <c r="L87" s="350">
        <v>0</v>
      </c>
      <c r="M87" s="350">
        <v>0</v>
      </c>
      <c r="N87" s="445">
        <f t="shared" si="9"/>
        <v>0</v>
      </c>
      <c r="O87" s="789">
        <f t="shared" si="9"/>
        <v>0</v>
      </c>
      <c r="P87" s="358">
        <f t="shared" si="8"/>
        <v>1757</v>
      </c>
      <c r="Q87" s="27">
        <v>0</v>
      </c>
      <c r="R87" s="25">
        <v>600</v>
      </c>
      <c r="S87" s="25">
        <v>0</v>
      </c>
      <c r="T87" s="359"/>
    </row>
    <row r="88" spans="1:20" ht="12.75">
      <c r="A88" s="25">
        <v>689</v>
      </c>
      <c r="B88" s="28" t="s">
        <v>113</v>
      </c>
      <c r="C88" s="25">
        <v>1170</v>
      </c>
      <c r="D88" s="155">
        <v>144</v>
      </c>
      <c r="E88" s="155">
        <v>144</v>
      </c>
      <c r="F88" s="283">
        <f t="shared" si="7"/>
        <v>144</v>
      </c>
      <c r="G88" s="283">
        <v>144</v>
      </c>
      <c r="H88" s="283">
        <v>144</v>
      </c>
      <c r="I88" s="380">
        <f t="shared" si="10"/>
        <v>689</v>
      </c>
      <c r="J88" s="380">
        <v>144</v>
      </c>
      <c r="K88" s="350">
        <v>0</v>
      </c>
      <c r="L88" s="350">
        <v>0</v>
      </c>
      <c r="M88" s="350">
        <v>0</v>
      </c>
      <c r="N88" s="445">
        <f t="shared" si="9"/>
        <v>0</v>
      </c>
      <c r="O88" s="789">
        <f t="shared" si="9"/>
        <v>0</v>
      </c>
      <c r="P88" s="358">
        <f t="shared" si="8"/>
        <v>1314</v>
      </c>
      <c r="Q88" s="27">
        <v>0</v>
      </c>
      <c r="R88" s="25">
        <v>580</v>
      </c>
      <c r="S88" s="25">
        <v>0</v>
      </c>
      <c r="T88" s="359"/>
    </row>
    <row r="89" spans="1:20" ht="12.75">
      <c r="A89" s="25">
        <v>691</v>
      </c>
      <c r="B89" s="26" t="s">
        <v>114</v>
      </c>
      <c r="C89" s="25">
        <v>1500</v>
      </c>
      <c r="D89" s="155">
        <v>101</v>
      </c>
      <c r="E89" s="155">
        <v>101</v>
      </c>
      <c r="F89" s="283">
        <f t="shared" si="7"/>
        <v>101</v>
      </c>
      <c r="G89" s="283">
        <v>101</v>
      </c>
      <c r="H89" s="283">
        <v>101</v>
      </c>
      <c r="I89" s="380">
        <f t="shared" si="10"/>
        <v>691</v>
      </c>
      <c r="J89" s="380">
        <v>101</v>
      </c>
      <c r="K89" s="350">
        <v>0</v>
      </c>
      <c r="L89" s="350">
        <v>0</v>
      </c>
      <c r="M89" s="350">
        <v>0</v>
      </c>
      <c r="N89" s="445">
        <f t="shared" si="9"/>
        <v>0</v>
      </c>
      <c r="O89" s="789">
        <f t="shared" si="9"/>
        <v>0</v>
      </c>
      <c r="P89" s="358">
        <f t="shared" si="8"/>
        <v>1601</v>
      </c>
      <c r="Q89" s="27">
        <v>0</v>
      </c>
      <c r="R89" s="25">
        <v>750</v>
      </c>
      <c r="S89" s="25">
        <v>0</v>
      </c>
      <c r="T89" s="359"/>
    </row>
    <row r="90" spans="1:20" ht="12.75">
      <c r="A90" s="25">
        <v>692</v>
      </c>
      <c r="B90" s="26" t="s">
        <v>115</v>
      </c>
      <c r="C90" s="25">
        <v>1690</v>
      </c>
      <c r="D90" s="155">
        <v>76</v>
      </c>
      <c r="E90" s="155">
        <v>76</v>
      </c>
      <c r="F90" s="283">
        <f t="shared" si="7"/>
        <v>76</v>
      </c>
      <c r="G90" s="283">
        <v>76</v>
      </c>
      <c r="H90" s="283">
        <v>76</v>
      </c>
      <c r="I90" s="380">
        <f t="shared" si="10"/>
        <v>692</v>
      </c>
      <c r="J90" s="380">
        <v>76</v>
      </c>
      <c r="K90" s="350">
        <v>0</v>
      </c>
      <c r="L90" s="350">
        <v>0</v>
      </c>
      <c r="M90" s="350">
        <v>0</v>
      </c>
      <c r="N90" s="445">
        <f t="shared" si="9"/>
        <v>0</v>
      </c>
      <c r="O90" s="789">
        <f t="shared" si="9"/>
        <v>0</v>
      </c>
      <c r="P90" s="358">
        <f t="shared" si="8"/>
        <v>1766</v>
      </c>
      <c r="Q90" s="27">
        <v>0</v>
      </c>
      <c r="R90" s="25">
        <v>620</v>
      </c>
      <c r="S90" s="25">
        <v>0</v>
      </c>
      <c r="T90" s="359"/>
    </row>
    <row r="91" spans="1:20" ht="12.75">
      <c r="A91" s="25">
        <v>693</v>
      </c>
      <c r="B91" s="26" t="s">
        <v>116</v>
      </c>
      <c r="C91" s="25">
        <v>1550</v>
      </c>
      <c r="D91" s="155">
        <v>94</v>
      </c>
      <c r="E91" s="155">
        <v>94</v>
      </c>
      <c r="F91" s="283">
        <f t="shared" si="7"/>
        <v>94</v>
      </c>
      <c r="G91" s="283">
        <v>94</v>
      </c>
      <c r="H91" s="283">
        <v>94</v>
      </c>
      <c r="I91" s="380">
        <f t="shared" si="10"/>
        <v>693</v>
      </c>
      <c r="J91" s="380">
        <v>94</v>
      </c>
      <c r="K91" s="350">
        <v>0</v>
      </c>
      <c r="L91" s="350">
        <v>0</v>
      </c>
      <c r="M91" s="350">
        <v>0</v>
      </c>
      <c r="N91" s="445">
        <f t="shared" si="9"/>
        <v>0</v>
      </c>
      <c r="O91" s="789">
        <f t="shared" si="9"/>
        <v>0</v>
      </c>
      <c r="P91" s="358">
        <f t="shared" si="8"/>
        <v>1644</v>
      </c>
      <c r="Q91" s="27">
        <v>0</v>
      </c>
      <c r="R91" s="25">
        <v>620</v>
      </c>
      <c r="S91" s="25">
        <v>0</v>
      </c>
      <c r="T91" s="359"/>
    </row>
    <row r="92" spans="1:20" ht="12.75">
      <c r="A92" s="25">
        <v>694</v>
      </c>
      <c r="B92" s="26" t="s">
        <v>117</v>
      </c>
      <c r="C92" s="25">
        <v>1400</v>
      </c>
      <c r="D92" s="155">
        <v>114</v>
      </c>
      <c r="E92" s="155">
        <v>114</v>
      </c>
      <c r="F92" s="283">
        <f t="shared" si="7"/>
        <v>114</v>
      </c>
      <c r="G92" s="283">
        <v>114</v>
      </c>
      <c r="H92" s="283">
        <v>114</v>
      </c>
      <c r="I92" s="380">
        <f t="shared" si="10"/>
        <v>694</v>
      </c>
      <c r="J92" s="380">
        <v>114</v>
      </c>
      <c r="K92" s="350">
        <v>0</v>
      </c>
      <c r="L92" s="350">
        <v>0</v>
      </c>
      <c r="M92" s="350">
        <v>0</v>
      </c>
      <c r="N92" s="445">
        <f t="shared" si="9"/>
        <v>0</v>
      </c>
      <c r="O92" s="789">
        <f t="shared" si="9"/>
        <v>0</v>
      </c>
      <c r="P92" s="358">
        <f t="shared" si="8"/>
        <v>1514</v>
      </c>
      <c r="Q92" s="27">
        <v>0</v>
      </c>
      <c r="R92" s="25">
        <v>620</v>
      </c>
      <c r="S92" s="25">
        <v>0</v>
      </c>
      <c r="T92" s="359"/>
    </row>
    <row r="93" spans="1:20" ht="12.75">
      <c r="A93" s="25">
        <v>695</v>
      </c>
      <c r="B93" s="26" t="s">
        <v>118</v>
      </c>
      <c r="C93" s="25">
        <v>906</v>
      </c>
      <c r="D93" s="155">
        <v>170</v>
      </c>
      <c r="E93" s="381">
        <v>216</v>
      </c>
      <c r="F93" s="283">
        <v>261</v>
      </c>
      <c r="G93" s="350">
        <v>327</v>
      </c>
      <c r="H93" s="350">
        <v>350</v>
      </c>
      <c r="I93" s="380">
        <f t="shared" si="10"/>
        <v>695</v>
      </c>
      <c r="J93" s="380">
        <v>414.7</v>
      </c>
      <c r="K93" s="350">
        <v>0</v>
      </c>
      <c r="L93" s="350">
        <v>0</v>
      </c>
      <c r="M93" s="350">
        <v>0</v>
      </c>
      <c r="N93" s="445">
        <f t="shared" si="9"/>
        <v>0</v>
      </c>
      <c r="O93" s="789">
        <f t="shared" si="9"/>
        <v>0</v>
      </c>
      <c r="P93" s="358">
        <f t="shared" si="8"/>
        <v>1233</v>
      </c>
      <c r="Q93" s="27">
        <v>0</v>
      </c>
      <c r="R93" s="25">
        <v>0</v>
      </c>
      <c r="S93" s="25">
        <v>0</v>
      </c>
      <c r="T93" s="359"/>
    </row>
    <row r="94" spans="1:20" ht="12.75">
      <c r="A94" s="25">
        <v>696</v>
      </c>
      <c r="B94" s="26" t="s">
        <v>119</v>
      </c>
      <c r="C94" s="25">
        <v>1500</v>
      </c>
      <c r="D94" s="155">
        <v>101</v>
      </c>
      <c r="E94" s="155">
        <v>101</v>
      </c>
      <c r="F94" s="283">
        <f>IF(C94&lt;972,E94+44,E94)</f>
        <v>101</v>
      </c>
      <c r="G94" s="283">
        <v>101</v>
      </c>
      <c r="H94" s="283">
        <v>101</v>
      </c>
      <c r="I94" s="380">
        <f t="shared" si="10"/>
        <v>696</v>
      </c>
      <c r="J94" s="380">
        <v>101</v>
      </c>
      <c r="K94" s="350">
        <v>388.2</v>
      </c>
      <c r="L94" s="350">
        <v>388.2</v>
      </c>
      <c r="M94" s="350">
        <v>388.2</v>
      </c>
      <c r="N94" s="445">
        <f t="shared" si="9"/>
        <v>388.2</v>
      </c>
      <c r="O94" s="789">
        <f t="shared" si="9"/>
        <v>388.2</v>
      </c>
      <c r="P94" s="358">
        <f t="shared" si="8"/>
        <v>1989.2</v>
      </c>
      <c r="Q94" s="27">
        <v>0</v>
      </c>
      <c r="R94" s="25">
        <v>0</v>
      </c>
      <c r="S94" s="25">
        <v>0</v>
      </c>
      <c r="T94" s="359"/>
    </row>
    <row r="95" spans="1:20" ht="12.75">
      <c r="A95" s="25">
        <v>697</v>
      </c>
      <c r="B95" s="26" t="s">
        <v>120</v>
      </c>
      <c r="C95" s="25">
        <v>1500</v>
      </c>
      <c r="D95" s="155">
        <v>101</v>
      </c>
      <c r="E95" s="155">
        <v>101</v>
      </c>
      <c r="F95" s="283">
        <f>IF(C95&lt;972,E95+44,E95)</f>
        <v>101</v>
      </c>
      <c r="G95" s="283">
        <v>101</v>
      </c>
      <c r="H95" s="283">
        <v>101</v>
      </c>
      <c r="I95" s="380">
        <f t="shared" si="10"/>
        <v>697</v>
      </c>
      <c r="J95" s="380">
        <v>101</v>
      </c>
      <c r="K95" s="350">
        <v>0</v>
      </c>
      <c r="L95" s="350">
        <v>0</v>
      </c>
      <c r="M95" s="350">
        <v>0</v>
      </c>
      <c r="N95" s="445">
        <f t="shared" si="9"/>
        <v>0</v>
      </c>
      <c r="O95" s="789">
        <f t="shared" si="9"/>
        <v>0</v>
      </c>
      <c r="P95" s="358">
        <f t="shared" si="8"/>
        <v>1601</v>
      </c>
      <c r="Q95" s="27">
        <v>0</v>
      </c>
      <c r="R95" s="25">
        <v>0</v>
      </c>
      <c r="S95" s="25">
        <v>0</v>
      </c>
      <c r="T95" s="359"/>
    </row>
    <row r="96" spans="1:20" ht="12.75">
      <c r="A96" s="25">
        <v>698</v>
      </c>
      <c r="B96" s="26" t="s">
        <v>121</v>
      </c>
      <c r="C96" s="25">
        <v>1690</v>
      </c>
      <c r="D96" s="155">
        <v>76</v>
      </c>
      <c r="E96" s="155">
        <v>76</v>
      </c>
      <c r="F96" s="283">
        <f>IF(C96&lt;972,E96+44,E96)</f>
        <v>76</v>
      </c>
      <c r="G96" s="283">
        <v>76</v>
      </c>
      <c r="H96" s="283">
        <v>76</v>
      </c>
      <c r="I96" s="380">
        <f t="shared" si="10"/>
        <v>698</v>
      </c>
      <c r="J96" s="380">
        <v>76</v>
      </c>
      <c r="K96" s="350">
        <v>0</v>
      </c>
      <c r="L96" s="350">
        <v>0</v>
      </c>
      <c r="M96" s="350">
        <v>0</v>
      </c>
      <c r="N96" s="445">
        <f t="shared" si="9"/>
        <v>0</v>
      </c>
      <c r="O96" s="789">
        <f t="shared" si="9"/>
        <v>0</v>
      </c>
      <c r="P96" s="358">
        <f t="shared" si="8"/>
        <v>1766</v>
      </c>
      <c r="Q96" s="27">
        <v>0</v>
      </c>
      <c r="R96" s="25">
        <v>0</v>
      </c>
      <c r="S96" s="25">
        <v>0</v>
      </c>
      <c r="T96" s="359"/>
    </row>
    <row r="97" spans="1:20" ht="12.75">
      <c r="A97" s="25">
        <v>699</v>
      </c>
      <c r="B97" s="26" t="s">
        <v>122</v>
      </c>
      <c r="C97" s="25">
        <v>1550</v>
      </c>
      <c r="D97" s="155">
        <v>94</v>
      </c>
      <c r="E97" s="155">
        <v>94</v>
      </c>
      <c r="F97" s="283">
        <f>IF(C97&lt;972,E97+44,E97)</f>
        <v>94</v>
      </c>
      <c r="G97" s="283">
        <v>94</v>
      </c>
      <c r="H97" s="283">
        <v>94</v>
      </c>
      <c r="I97" s="380">
        <f t="shared" si="10"/>
        <v>699</v>
      </c>
      <c r="J97" s="380">
        <v>94</v>
      </c>
      <c r="K97" s="350">
        <v>0</v>
      </c>
      <c r="L97" s="350">
        <v>0</v>
      </c>
      <c r="M97" s="350">
        <v>0</v>
      </c>
      <c r="N97" s="445">
        <f t="shared" si="9"/>
        <v>0</v>
      </c>
      <c r="O97" s="789">
        <f t="shared" si="9"/>
        <v>0</v>
      </c>
      <c r="P97" s="358">
        <f t="shared" si="8"/>
        <v>1644</v>
      </c>
      <c r="Q97" s="27">
        <v>0</v>
      </c>
      <c r="R97" s="25">
        <v>0</v>
      </c>
      <c r="S97" s="25">
        <v>0</v>
      </c>
      <c r="T97" s="359"/>
    </row>
    <row r="98" spans="1:20" s="383" customFormat="1" ht="12.75">
      <c r="A98" s="360">
        <v>702</v>
      </c>
      <c r="B98" s="361" t="s">
        <v>123</v>
      </c>
      <c r="C98" s="360">
        <v>971</v>
      </c>
      <c r="D98" s="362">
        <v>170</v>
      </c>
      <c r="E98" s="378">
        <v>216</v>
      </c>
      <c r="F98" s="283">
        <v>261</v>
      </c>
      <c r="G98" s="350">
        <v>327</v>
      </c>
      <c r="H98" s="350">
        <v>350</v>
      </c>
      <c r="I98" s="382">
        <f t="shared" si="10"/>
        <v>702</v>
      </c>
      <c r="J98" s="382">
        <v>414.7</v>
      </c>
      <c r="K98" s="351">
        <v>0</v>
      </c>
      <c r="L98" s="351">
        <v>0</v>
      </c>
      <c r="M98" s="351">
        <v>0</v>
      </c>
      <c r="N98" s="445">
        <f>M98*1.1</f>
        <v>0</v>
      </c>
      <c r="O98" s="790">
        <f>N98*1.25</f>
        <v>0</v>
      </c>
      <c r="P98" s="358">
        <f t="shared" si="8"/>
        <v>1298</v>
      </c>
      <c r="Q98" s="365">
        <v>0</v>
      </c>
      <c r="R98" s="360">
        <v>0</v>
      </c>
      <c r="S98" s="360">
        <v>0</v>
      </c>
      <c r="T98" s="366"/>
    </row>
    <row r="99" spans="1:20" ht="12.75">
      <c r="A99" s="25">
        <v>703</v>
      </c>
      <c r="B99" s="26" t="s">
        <v>124</v>
      </c>
      <c r="C99" s="25">
        <v>3429</v>
      </c>
      <c r="D99" s="155">
        <v>0</v>
      </c>
      <c r="E99" s="155">
        <v>0</v>
      </c>
      <c r="F99" s="283">
        <f>IF(C99&lt;972,E99+44,E99)</f>
        <v>0</v>
      </c>
      <c r="G99" s="283">
        <v>0</v>
      </c>
      <c r="H99" s="283">
        <v>0</v>
      </c>
      <c r="I99" s="380">
        <f t="shared" si="10"/>
        <v>703</v>
      </c>
      <c r="J99" s="380">
        <v>0</v>
      </c>
      <c r="K99" s="350">
        <v>0</v>
      </c>
      <c r="L99" s="350">
        <v>0</v>
      </c>
      <c r="M99" s="350">
        <v>0</v>
      </c>
      <c r="N99" s="445">
        <f>M99*1.1</f>
        <v>0</v>
      </c>
      <c r="O99" s="790">
        <f>N99*1.25</f>
        <v>0</v>
      </c>
      <c r="P99" s="358">
        <f t="shared" si="8"/>
        <v>3429</v>
      </c>
      <c r="Q99" s="27">
        <v>0</v>
      </c>
      <c r="R99" s="25">
        <v>0</v>
      </c>
      <c r="S99" s="25">
        <v>0</v>
      </c>
      <c r="T99" s="359"/>
    </row>
    <row r="100" spans="1:20" ht="12.75">
      <c r="A100" s="25">
        <v>704</v>
      </c>
      <c r="B100" s="26" t="s">
        <v>125</v>
      </c>
      <c r="C100" s="25">
        <v>1500</v>
      </c>
      <c r="D100" s="155">
        <v>101</v>
      </c>
      <c r="E100" s="155">
        <v>101</v>
      </c>
      <c r="F100" s="283">
        <f>IF(C100&lt;972,E100+44,E100)</f>
        <v>101</v>
      </c>
      <c r="G100" s="283">
        <v>101</v>
      </c>
      <c r="H100" s="283">
        <v>101</v>
      </c>
      <c r="I100" s="380">
        <f t="shared" si="10"/>
        <v>704</v>
      </c>
      <c r="J100" s="380">
        <v>101</v>
      </c>
      <c r="K100" s="350">
        <v>0</v>
      </c>
      <c r="L100" s="350">
        <v>136</v>
      </c>
      <c r="M100" s="350">
        <v>272</v>
      </c>
      <c r="N100" s="445">
        <f>M100*1.33333</f>
        <v>362.66576</v>
      </c>
      <c r="O100" s="799">
        <f>N100*1.25</f>
        <v>453.33219999999994</v>
      </c>
      <c r="P100" s="358">
        <f t="shared" si="8"/>
        <v>1873</v>
      </c>
      <c r="Q100" s="27">
        <v>0</v>
      </c>
      <c r="R100" s="25">
        <v>0</v>
      </c>
      <c r="S100" s="25">
        <v>0</v>
      </c>
      <c r="T100" s="359"/>
    </row>
    <row r="101" spans="1:20" ht="12.75">
      <c r="A101" s="25">
        <v>705</v>
      </c>
      <c r="B101" s="26" t="s">
        <v>126</v>
      </c>
      <c r="C101" s="25">
        <v>1592</v>
      </c>
      <c r="D101" s="155">
        <v>89</v>
      </c>
      <c r="E101" s="155">
        <v>89</v>
      </c>
      <c r="F101" s="283">
        <f>IF(C101&lt;972,E101+44,E101)</f>
        <v>89</v>
      </c>
      <c r="G101" s="283">
        <v>89</v>
      </c>
      <c r="H101" s="283">
        <v>89</v>
      </c>
      <c r="I101" s="380">
        <f t="shared" si="10"/>
        <v>705</v>
      </c>
      <c r="J101" s="380">
        <v>89</v>
      </c>
      <c r="K101" s="350">
        <v>0</v>
      </c>
      <c r="L101" s="350">
        <v>175</v>
      </c>
      <c r="M101" s="350">
        <v>350</v>
      </c>
      <c r="N101" s="445">
        <f>M101*1.33333</f>
        <v>466.66549999999995</v>
      </c>
      <c r="O101" s="799">
        <f>N101*1.25</f>
        <v>583.331875</v>
      </c>
      <c r="P101" s="358">
        <f t="shared" si="8"/>
        <v>2031</v>
      </c>
      <c r="Q101" s="27">
        <v>0</v>
      </c>
      <c r="R101" s="25">
        <v>0</v>
      </c>
      <c r="S101" s="25">
        <v>0</v>
      </c>
      <c r="T101" s="359"/>
    </row>
    <row r="102" spans="1:20" ht="12.75">
      <c r="A102" s="25">
        <v>706</v>
      </c>
      <c r="B102" s="26" t="s">
        <v>127</v>
      </c>
      <c r="C102" s="25">
        <v>2482</v>
      </c>
      <c r="D102" s="155">
        <v>0</v>
      </c>
      <c r="E102" s="155">
        <v>0</v>
      </c>
      <c r="F102" s="283">
        <f>IF(C102&lt;972,E102+44,E102)</f>
        <v>0</v>
      </c>
      <c r="G102" s="283">
        <v>0</v>
      </c>
      <c r="H102" s="283">
        <v>0</v>
      </c>
      <c r="I102" s="380">
        <f t="shared" si="10"/>
        <v>706</v>
      </c>
      <c r="J102" s="380">
        <v>0</v>
      </c>
      <c r="K102" s="350">
        <v>0</v>
      </c>
      <c r="L102" s="350">
        <f>D102*0.09</f>
        <v>0</v>
      </c>
      <c r="M102" s="350">
        <v>0</v>
      </c>
      <c r="N102" s="445">
        <f>M102*1.1</f>
        <v>0</v>
      </c>
      <c r="O102" s="790">
        <f>N102*1.25</f>
        <v>0</v>
      </c>
      <c r="P102" s="358">
        <f t="shared" si="8"/>
        <v>2482</v>
      </c>
      <c r="Q102" s="27">
        <v>0</v>
      </c>
      <c r="R102" s="25">
        <v>0</v>
      </c>
      <c r="S102" s="25">
        <v>0</v>
      </c>
      <c r="T102" s="359"/>
    </row>
    <row r="103" spans="1:20" ht="12.75">
      <c r="A103" s="25">
        <v>707</v>
      </c>
      <c r="B103" s="26" t="s">
        <v>423</v>
      </c>
      <c r="C103" s="25">
        <v>2913</v>
      </c>
      <c r="D103" s="155"/>
      <c r="E103" s="155"/>
      <c r="F103" s="283"/>
      <c r="G103" s="283">
        <v>0</v>
      </c>
      <c r="H103" s="283">
        <v>0</v>
      </c>
      <c r="I103" s="380">
        <f t="shared" si="10"/>
        <v>707</v>
      </c>
      <c r="J103" s="380">
        <v>0</v>
      </c>
      <c r="K103" s="350"/>
      <c r="L103" s="350"/>
      <c r="M103" s="350">
        <v>466</v>
      </c>
      <c r="N103" s="445">
        <v>776</v>
      </c>
      <c r="O103" s="789">
        <f aca="true" t="shared" si="11" ref="O103:O110">N103</f>
        <v>776</v>
      </c>
      <c r="P103" s="358">
        <f t="shared" si="8"/>
        <v>3379</v>
      </c>
      <c r="Q103" s="27">
        <v>0</v>
      </c>
      <c r="R103" s="25">
        <v>0</v>
      </c>
      <c r="S103" s="25">
        <v>0</v>
      </c>
      <c r="T103" s="359"/>
    </row>
    <row r="104" spans="1:20" ht="12.75">
      <c r="A104" s="25">
        <v>708</v>
      </c>
      <c r="B104" s="26" t="s">
        <v>128</v>
      </c>
      <c r="C104" s="25">
        <v>3146</v>
      </c>
      <c r="D104" s="155">
        <v>0</v>
      </c>
      <c r="E104" s="155">
        <v>0</v>
      </c>
      <c r="F104" s="283">
        <f aca="true" t="shared" si="12" ref="F104:F127">IF(C104&lt;972,E104+44,E104)</f>
        <v>0</v>
      </c>
      <c r="G104" s="283">
        <v>0</v>
      </c>
      <c r="H104" s="283">
        <v>0</v>
      </c>
      <c r="I104" s="380">
        <f t="shared" si="10"/>
        <v>708</v>
      </c>
      <c r="J104" s="380">
        <v>0</v>
      </c>
      <c r="K104" s="350">
        <v>0</v>
      </c>
      <c r="L104" s="350">
        <v>0</v>
      </c>
      <c r="M104" s="350">
        <v>466</v>
      </c>
      <c r="N104" s="445">
        <f>M104*1.33333</f>
        <v>621.33178</v>
      </c>
      <c r="O104" s="789">
        <f t="shared" si="11"/>
        <v>621.33178</v>
      </c>
      <c r="P104" s="358">
        <f t="shared" si="8"/>
        <v>3612</v>
      </c>
      <c r="Q104" s="27">
        <v>0</v>
      </c>
      <c r="R104" s="25">
        <v>0</v>
      </c>
      <c r="S104" s="25">
        <v>0</v>
      </c>
      <c r="T104" s="359"/>
    </row>
    <row r="105" spans="1:20" ht="12.75">
      <c r="A105" s="25">
        <v>709</v>
      </c>
      <c r="B105" s="26" t="s">
        <v>424</v>
      </c>
      <c r="C105" s="25">
        <v>2913</v>
      </c>
      <c r="D105" s="155">
        <v>0</v>
      </c>
      <c r="E105" s="155">
        <v>0</v>
      </c>
      <c r="F105" s="283">
        <f t="shared" si="12"/>
        <v>0</v>
      </c>
      <c r="G105" s="283">
        <v>0</v>
      </c>
      <c r="H105" s="283">
        <v>0</v>
      </c>
      <c r="I105" s="380">
        <f t="shared" si="10"/>
        <v>709</v>
      </c>
      <c r="J105" s="380">
        <v>0</v>
      </c>
      <c r="K105" s="350">
        <v>0</v>
      </c>
      <c r="L105" s="373">
        <v>233</v>
      </c>
      <c r="M105" s="373">
        <v>466</v>
      </c>
      <c r="N105" s="445">
        <v>776</v>
      </c>
      <c r="O105" s="789">
        <f t="shared" si="11"/>
        <v>776</v>
      </c>
      <c r="P105" s="358">
        <f t="shared" si="8"/>
        <v>3379</v>
      </c>
      <c r="Q105" s="27">
        <v>0</v>
      </c>
      <c r="R105" s="25">
        <v>0</v>
      </c>
      <c r="S105" s="25">
        <v>0</v>
      </c>
      <c r="T105" s="359"/>
    </row>
    <row r="106" spans="1:20" ht="12.75">
      <c r="A106" s="25">
        <v>710</v>
      </c>
      <c r="B106" s="26" t="s">
        <v>129</v>
      </c>
      <c r="C106" s="25">
        <v>2913</v>
      </c>
      <c r="D106" s="155">
        <v>0</v>
      </c>
      <c r="E106" s="155">
        <v>0</v>
      </c>
      <c r="F106" s="283">
        <f t="shared" si="12"/>
        <v>0</v>
      </c>
      <c r="G106" s="283">
        <v>0</v>
      </c>
      <c r="H106" s="283">
        <v>0</v>
      </c>
      <c r="I106" s="380">
        <f t="shared" si="10"/>
        <v>710</v>
      </c>
      <c r="J106" s="380">
        <v>0</v>
      </c>
      <c r="K106" s="350">
        <v>0</v>
      </c>
      <c r="L106" s="373">
        <v>233</v>
      </c>
      <c r="M106" s="373">
        <v>466</v>
      </c>
      <c r="N106" s="445">
        <v>776</v>
      </c>
      <c r="O106" s="789">
        <f t="shared" si="11"/>
        <v>776</v>
      </c>
      <c r="P106" s="358">
        <f t="shared" si="8"/>
        <v>3379</v>
      </c>
      <c r="Q106" s="27">
        <v>20</v>
      </c>
      <c r="R106" s="25">
        <v>0</v>
      </c>
      <c r="S106" s="25">
        <v>0</v>
      </c>
      <c r="T106" s="359"/>
    </row>
    <row r="107" spans="1:20" ht="12.75">
      <c r="A107" s="25">
        <v>711</v>
      </c>
      <c r="B107" s="26" t="s">
        <v>130</v>
      </c>
      <c r="C107" s="25">
        <v>2913</v>
      </c>
      <c r="D107" s="155">
        <v>0</v>
      </c>
      <c r="E107" s="155">
        <v>0</v>
      </c>
      <c r="F107" s="283">
        <f t="shared" si="12"/>
        <v>0</v>
      </c>
      <c r="G107" s="283">
        <v>0</v>
      </c>
      <c r="H107" s="283">
        <v>0</v>
      </c>
      <c r="I107" s="380">
        <f t="shared" si="10"/>
        <v>711</v>
      </c>
      <c r="J107" s="380">
        <v>0</v>
      </c>
      <c r="K107" s="350">
        <v>0</v>
      </c>
      <c r="L107" s="373">
        <v>233</v>
      </c>
      <c r="M107" s="373">
        <v>466</v>
      </c>
      <c r="N107" s="445">
        <v>776</v>
      </c>
      <c r="O107" s="789">
        <f t="shared" si="11"/>
        <v>776</v>
      </c>
      <c r="P107" s="358">
        <f t="shared" si="8"/>
        <v>3379</v>
      </c>
      <c r="Q107" s="27">
        <v>0</v>
      </c>
      <c r="R107" s="25">
        <v>0</v>
      </c>
      <c r="S107" s="25">
        <v>0</v>
      </c>
      <c r="T107" s="359"/>
    </row>
    <row r="108" spans="1:20" ht="12.75">
      <c r="A108" s="25">
        <v>712</v>
      </c>
      <c r="B108" s="26" t="s">
        <v>425</v>
      </c>
      <c r="C108" s="25">
        <v>2913</v>
      </c>
      <c r="D108" s="155">
        <v>0</v>
      </c>
      <c r="E108" s="155">
        <v>0</v>
      </c>
      <c r="F108" s="283">
        <f t="shared" si="12"/>
        <v>0</v>
      </c>
      <c r="G108" s="283">
        <v>0</v>
      </c>
      <c r="H108" s="283">
        <v>0</v>
      </c>
      <c r="I108" s="380">
        <f t="shared" si="10"/>
        <v>712</v>
      </c>
      <c r="J108" s="380">
        <v>0</v>
      </c>
      <c r="K108" s="350">
        <v>0</v>
      </c>
      <c r="L108" s="373">
        <v>233</v>
      </c>
      <c r="M108" s="373">
        <v>466</v>
      </c>
      <c r="N108" s="445">
        <v>776</v>
      </c>
      <c r="O108" s="789">
        <f t="shared" si="11"/>
        <v>776</v>
      </c>
      <c r="P108" s="358">
        <f t="shared" si="8"/>
        <v>3379</v>
      </c>
      <c r="Q108" s="27">
        <v>0</v>
      </c>
      <c r="R108" s="25">
        <v>0</v>
      </c>
      <c r="S108" s="25">
        <v>0</v>
      </c>
      <c r="T108" s="359"/>
    </row>
    <row r="109" spans="1:20" ht="12.75">
      <c r="A109" s="25">
        <v>713</v>
      </c>
      <c r="B109" s="26" t="s">
        <v>131</v>
      </c>
      <c r="C109" s="25">
        <v>2913</v>
      </c>
      <c r="D109" s="155">
        <v>0</v>
      </c>
      <c r="E109" s="155">
        <v>0</v>
      </c>
      <c r="F109" s="283">
        <f t="shared" si="12"/>
        <v>0</v>
      </c>
      <c r="G109" s="283">
        <v>0</v>
      </c>
      <c r="H109" s="283">
        <v>0</v>
      </c>
      <c r="I109" s="380">
        <f t="shared" si="10"/>
        <v>713</v>
      </c>
      <c r="J109" s="380">
        <v>0</v>
      </c>
      <c r="K109" s="350">
        <v>0</v>
      </c>
      <c r="L109" s="373">
        <v>233</v>
      </c>
      <c r="M109" s="373">
        <v>466</v>
      </c>
      <c r="N109" s="445">
        <v>776</v>
      </c>
      <c r="O109" s="789">
        <f t="shared" si="11"/>
        <v>776</v>
      </c>
      <c r="P109" s="358">
        <f t="shared" si="8"/>
        <v>3379</v>
      </c>
      <c r="Q109" s="27">
        <v>0</v>
      </c>
      <c r="R109" s="25">
        <v>0</v>
      </c>
      <c r="S109" s="25">
        <v>0</v>
      </c>
      <c r="T109" s="359"/>
    </row>
    <row r="110" spans="1:20" ht="12.75">
      <c r="A110" s="25">
        <v>714</v>
      </c>
      <c r="B110" s="26" t="s">
        <v>132</v>
      </c>
      <c r="C110" s="25">
        <v>2913</v>
      </c>
      <c r="D110" s="155">
        <v>0</v>
      </c>
      <c r="E110" s="155">
        <v>0</v>
      </c>
      <c r="F110" s="283">
        <f t="shared" si="12"/>
        <v>0</v>
      </c>
      <c r="G110" s="283">
        <v>0</v>
      </c>
      <c r="H110" s="283">
        <v>0</v>
      </c>
      <c r="I110" s="380">
        <f t="shared" si="10"/>
        <v>714</v>
      </c>
      <c r="J110" s="380">
        <v>0</v>
      </c>
      <c r="K110" s="350">
        <v>0</v>
      </c>
      <c r="L110" s="350">
        <f>D110*0.09</f>
        <v>0</v>
      </c>
      <c r="M110" s="350">
        <v>0</v>
      </c>
      <c r="N110" s="445">
        <f>M110*1.1</f>
        <v>0</v>
      </c>
      <c r="O110" s="789">
        <f t="shared" si="11"/>
        <v>0</v>
      </c>
      <c r="P110" s="358">
        <f t="shared" si="8"/>
        <v>2913</v>
      </c>
      <c r="Q110" s="27">
        <v>0</v>
      </c>
      <c r="R110" s="25">
        <v>0</v>
      </c>
      <c r="S110" s="25">
        <v>0</v>
      </c>
      <c r="T110" s="359"/>
    </row>
    <row r="111" spans="1:20" ht="12.75">
      <c r="A111" s="25">
        <v>715</v>
      </c>
      <c r="B111" s="26" t="s">
        <v>133</v>
      </c>
      <c r="C111" s="25">
        <v>1912</v>
      </c>
      <c r="D111" s="155">
        <v>47</v>
      </c>
      <c r="E111" s="155">
        <v>47</v>
      </c>
      <c r="F111" s="283">
        <f t="shared" si="12"/>
        <v>47</v>
      </c>
      <c r="G111" s="283">
        <v>47</v>
      </c>
      <c r="H111" s="283">
        <v>47</v>
      </c>
      <c r="I111" s="380">
        <f t="shared" si="10"/>
        <v>715</v>
      </c>
      <c r="J111" s="380">
        <v>47</v>
      </c>
      <c r="K111" s="350">
        <v>0</v>
      </c>
      <c r="L111" s="350">
        <v>230</v>
      </c>
      <c r="M111" s="350">
        <v>460</v>
      </c>
      <c r="N111" s="445">
        <f aca="true" t="shared" si="13" ref="N111:N127">M111*1.33333</f>
        <v>613.3317999999999</v>
      </c>
      <c r="O111" s="799">
        <f aca="true" t="shared" si="14" ref="O111:O121">N111*1.25</f>
        <v>766.6647499999999</v>
      </c>
      <c r="P111" s="358">
        <f t="shared" si="8"/>
        <v>2419</v>
      </c>
      <c r="Q111" s="27">
        <v>0</v>
      </c>
      <c r="R111" s="25">
        <v>42</v>
      </c>
      <c r="S111" s="25">
        <v>0</v>
      </c>
      <c r="T111" s="359"/>
    </row>
    <row r="112" spans="1:20" ht="12.75">
      <c r="A112" s="25">
        <v>716</v>
      </c>
      <c r="B112" s="26" t="s">
        <v>134</v>
      </c>
      <c r="C112" s="25">
        <v>1942</v>
      </c>
      <c r="D112" s="155">
        <v>43</v>
      </c>
      <c r="E112" s="155">
        <v>43</v>
      </c>
      <c r="F112" s="283">
        <f t="shared" si="12"/>
        <v>43</v>
      </c>
      <c r="G112" s="283">
        <v>43</v>
      </c>
      <c r="H112" s="283">
        <v>43</v>
      </c>
      <c r="I112" s="380">
        <f t="shared" si="10"/>
        <v>716</v>
      </c>
      <c r="J112" s="380">
        <v>43</v>
      </c>
      <c r="K112" s="350">
        <v>0</v>
      </c>
      <c r="L112" s="374">
        <v>194</v>
      </c>
      <c r="M112" s="374">
        <v>388</v>
      </c>
      <c r="N112" s="445">
        <f t="shared" si="13"/>
        <v>517.33204</v>
      </c>
      <c r="O112" s="799">
        <f t="shared" si="14"/>
        <v>646.6650500000001</v>
      </c>
      <c r="P112" s="358">
        <f t="shared" si="8"/>
        <v>2373</v>
      </c>
      <c r="Q112" s="27">
        <v>0</v>
      </c>
      <c r="R112" s="25">
        <v>0</v>
      </c>
      <c r="S112" s="25">
        <v>0</v>
      </c>
      <c r="T112" s="367">
        <v>782</v>
      </c>
    </row>
    <row r="113" spans="1:20" ht="12.75">
      <c r="A113" s="25">
        <v>717</v>
      </c>
      <c r="B113" s="26" t="s">
        <v>426</v>
      </c>
      <c r="C113" s="25">
        <v>2100</v>
      </c>
      <c r="D113" s="155">
        <v>23</v>
      </c>
      <c r="E113" s="155">
        <v>23</v>
      </c>
      <c r="F113" s="283">
        <f t="shared" si="12"/>
        <v>23</v>
      </c>
      <c r="G113" s="283">
        <v>23</v>
      </c>
      <c r="H113" s="283">
        <v>23</v>
      </c>
      <c r="I113" s="380">
        <f t="shared" si="10"/>
        <v>717</v>
      </c>
      <c r="J113" s="380">
        <v>23</v>
      </c>
      <c r="K113" s="350">
        <v>0</v>
      </c>
      <c r="L113" s="374">
        <v>194</v>
      </c>
      <c r="M113" s="374">
        <v>388</v>
      </c>
      <c r="N113" s="445">
        <f t="shared" si="13"/>
        <v>517.33204</v>
      </c>
      <c r="O113" s="799">
        <f t="shared" si="14"/>
        <v>646.6650500000001</v>
      </c>
      <c r="P113" s="358">
        <f t="shared" si="8"/>
        <v>2511</v>
      </c>
      <c r="Q113" s="27">
        <v>150</v>
      </c>
      <c r="R113" s="25">
        <v>0</v>
      </c>
      <c r="S113" s="25">
        <v>0</v>
      </c>
      <c r="T113" s="359"/>
    </row>
    <row r="114" spans="1:20" ht="12.75">
      <c r="A114" s="25">
        <v>718</v>
      </c>
      <c r="B114" s="26" t="s">
        <v>135</v>
      </c>
      <c r="C114" s="25">
        <v>1942</v>
      </c>
      <c r="D114" s="155">
        <v>43</v>
      </c>
      <c r="E114" s="155">
        <v>43</v>
      </c>
      <c r="F114" s="283">
        <f t="shared" si="12"/>
        <v>43</v>
      </c>
      <c r="G114" s="283">
        <v>43</v>
      </c>
      <c r="H114" s="283">
        <v>43</v>
      </c>
      <c r="I114" s="380">
        <f t="shared" si="10"/>
        <v>718</v>
      </c>
      <c r="J114" s="380">
        <v>43</v>
      </c>
      <c r="K114" s="350">
        <v>0</v>
      </c>
      <c r="L114" s="374">
        <v>194</v>
      </c>
      <c r="M114" s="374">
        <v>388</v>
      </c>
      <c r="N114" s="445">
        <f t="shared" si="13"/>
        <v>517.33204</v>
      </c>
      <c r="O114" s="799">
        <f t="shared" si="14"/>
        <v>646.6650500000001</v>
      </c>
      <c r="P114" s="358">
        <f t="shared" si="8"/>
        <v>2373</v>
      </c>
      <c r="Q114" s="27">
        <v>17</v>
      </c>
      <c r="R114" s="25">
        <v>0</v>
      </c>
      <c r="S114" s="25">
        <v>0</v>
      </c>
      <c r="T114" s="359"/>
    </row>
    <row r="115" spans="1:20" ht="12.75">
      <c r="A115" s="25">
        <v>719</v>
      </c>
      <c r="B115" s="26" t="s">
        <v>136</v>
      </c>
      <c r="C115" s="25">
        <v>1782</v>
      </c>
      <c r="D115" s="155">
        <v>64</v>
      </c>
      <c r="E115" s="155">
        <v>64</v>
      </c>
      <c r="F115" s="283">
        <f t="shared" si="12"/>
        <v>64</v>
      </c>
      <c r="G115" s="283">
        <v>64</v>
      </c>
      <c r="H115" s="283">
        <v>64</v>
      </c>
      <c r="I115" s="380">
        <f t="shared" si="10"/>
        <v>719</v>
      </c>
      <c r="J115" s="380">
        <v>64</v>
      </c>
      <c r="K115" s="350">
        <v>0</v>
      </c>
      <c r="L115" s="374">
        <v>175</v>
      </c>
      <c r="M115" s="374">
        <v>349</v>
      </c>
      <c r="N115" s="445">
        <f t="shared" si="13"/>
        <v>465.33216999999996</v>
      </c>
      <c r="O115" s="799">
        <f t="shared" si="14"/>
        <v>581.6652124999999</v>
      </c>
      <c r="P115" s="358">
        <f t="shared" si="8"/>
        <v>2195</v>
      </c>
      <c r="Q115" s="27">
        <v>0</v>
      </c>
      <c r="R115" s="25">
        <v>0</v>
      </c>
      <c r="S115" s="25">
        <v>0</v>
      </c>
      <c r="T115" s="367">
        <v>782</v>
      </c>
    </row>
    <row r="116" spans="1:20" ht="12.75">
      <c r="A116" s="25">
        <v>720</v>
      </c>
      <c r="B116" s="26" t="s">
        <v>137</v>
      </c>
      <c r="C116" s="25">
        <v>1782</v>
      </c>
      <c r="D116" s="155">
        <v>64</v>
      </c>
      <c r="E116" s="155">
        <v>64</v>
      </c>
      <c r="F116" s="283">
        <f t="shared" si="12"/>
        <v>64</v>
      </c>
      <c r="G116" s="283">
        <v>64</v>
      </c>
      <c r="H116" s="283">
        <v>64</v>
      </c>
      <c r="I116" s="380">
        <f t="shared" si="10"/>
        <v>720</v>
      </c>
      <c r="J116" s="380">
        <v>64</v>
      </c>
      <c r="K116" s="350">
        <v>0</v>
      </c>
      <c r="L116" s="374">
        <v>175</v>
      </c>
      <c r="M116" s="374">
        <v>349</v>
      </c>
      <c r="N116" s="445">
        <f t="shared" si="13"/>
        <v>465.33216999999996</v>
      </c>
      <c r="O116" s="799">
        <f t="shared" si="14"/>
        <v>581.6652124999999</v>
      </c>
      <c r="P116" s="358">
        <f t="shared" si="8"/>
        <v>2195</v>
      </c>
      <c r="Q116" s="27">
        <v>17</v>
      </c>
      <c r="R116" s="25">
        <v>0</v>
      </c>
      <c r="S116" s="25">
        <v>0</v>
      </c>
      <c r="T116" s="359"/>
    </row>
    <row r="117" spans="1:20" ht="12.75">
      <c r="A117" s="25">
        <v>721</v>
      </c>
      <c r="B117" s="26" t="s">
        <v>138</v>
      </c>
      <c r="C117" s="25">
        <v>1942</v>
      </c>
      <c r="D117" s="155">
        <v>43</v>
      </c>
      <c r="E117" s="155">
        <v>43</v>
      </c>
      <c r="F117" s="283">
        <f t="shared" si="12"/>
        <v>43</v>
      </c>
      <c r="G117" s="283">
        <v>43</v>
      </c>
      <c r="H117" s="283">
        <v>43</v>
      </c>
      <c r="I117" s="380">
        <f t="shared" si="10"/>
        <v>721</v>
      </c>
      <c r="J117" s="380">
        <v>43</v>
      </c>
      <c r="K117" s="350">
        <v>0</v>
      </c>
      <c r="L117" s="374">
        <v>194</v>
      </c>
      <c r="M117" s="374">
        <v>388</v>
      </c>
      <c r="N117" s="445">
        <f t="shared" si="13"/>
        <v>517.33204</v>
      </c>
      <c r="O117" s="799">
        <f t="shared" si="14"/>
        <v>646.6650500000001</v>
      </c>
      <c r="P117" s="358">
        <f t="shared" si="8"/>
        <v>2373</v>
      </c>
      <c r="Q117" s="27">
        <v>150</v>
      </c>
      <c r="R117" s="25">
        <v>0</v>
      </c>
      <c r="S117" s="25">
        <v>0</v>
      </c>
      <c r="T117" s="359"/>
    </row>
    <row r="118" spans="1:20" ht="12.75">
      <c r="A118" s="25">
        <v>722</v>
      </c>
      <c r="B118" s="26" t="s">
        <v>139</v>
      </c>
      <c r="C118" s="25">
        <v>1692</v>
      </c>
      <c r="D118" s="155">
        <v>76</v>
      </c>
      <c r="E118" s="155">
        <v>76</v>
      </c>
      <c r="F118" s="283">
        <f t="shared" si="12"/>
        <v>76</v>
      </c>
      <c r="G118" s="283">
        <v>76</v>
      </c>
      <c r="H118" s="283">
        <v>76</v>
      </c>
      <c r="I118" s="380">
        <f t="shared" si="10"/>
        <v>722</v>
      </c>
      <c r="J118" s="380">
        <v>76</v>
      </c>
      <c r="K118" s="350">
        <v>0</v>
      </c>
      <c r="L118" s="374">
        <v>136</v>
      </c>
      <c r="M118" s="374">
        <v>272</v>
      </c>
      <c r="N118" s="445">
        <f t="shared" si="13"/>
        <v>362.66576</v>
      </c>
      <c r="O118" s="799">
        <f t="shared" si="14"/>
        <v>453.33219999999994</v>
      </c>
      <c r="P118" s="358">
        <f t="shared" si="8"/>
        <v>2040</v>
      </c>
      <c r="Q118" s="27">
        <v>0</v>
      </c>
      <c r="R118" s="25">
        <v>0</v>
      </c>
      <c r="S118" s="25">
        <v>0</v>
      </c>
      <c r="T118" s="367">
        <v>744</v>
      </c>
    </row>
    <row r="119" spans="1:20" ht="12.75">
      <c r="A119" s="25">
        <v>723</v>
      </c>
      <c r="B119" s="26" t="s">
        <v>140</v>
      </c>
      <c r="C119" s="25">
        <v>1700</v>
      </c>
      <c r="D119" s="155">
        <v>75</v>
      </c>
      <c r="E119" s="155">
        <v>75</v>
      </c>
      <c r="F119" s="283">
        <f t="shared" si="12"/>
        <v>75</v>
      </c>
      <c r="G119" s="283">
        <v>75</v>
      </c>
      <c r="H119" s="283">
        <v>75</v>
      </c>
      <c r="I119" s="380">
        <f t="shared" si="10"/>
        <v>723</v>
      </c>
      <c r="J119" s="380">
        <v>75</v>
      </c>
      <c r="K119" s="350">
        <v>0</v>
      </c>
      <c r="L119" s="374">
        <v>116</v>
      </c>
      <c r="M119" s="374">
        <v>233</v>
      </c>
      <c r="N119" s="445">
        <f t="shared" si="13"/>
        <v>310.66589</v>
      </c>
      <c r="O119" s="799">
        <f t="shared" si="14"/>
        <v>388.3323625</v>
      </c>
      <c r="P119" s="358">
        <f t="shared" si="8"/>
        <v>2008</v>
      </c>
      <c r="Q119" s="27">
        <v>0</v>
      </c>
      <c r="R119" s="25">
        <v>0</v>
      </c>
      <c r="S119" s="25">
        <v>0</v>
      </c>
      <c r="T119" s="367">
        <v>769</v>
      </c>
    </row>
    <row r="120" spans="1:20" ht="12.75">
      <c r="A120" s="25">
        <v>724</v>
      </c>
      <c r="B120" s="26" t="s">
        <v>141</v>
      </c>
      <c r="C120" s="25">
        <v>1942</v>
      </c>
      <c r="D120" s="155">
        <v>43</v>
      </c>
      <c r="E120" s="155">
        <v>43</v>
      </c>
      <c r="F120" s="283">
        <f t="shared" si="12"/>
        <v>43</v>
      </c>
      <c r="G120" s="283">
        <v>43</v>
      </c>
      <c r="H120" s="283">
        <v>43</v>
      </c>
      <c r="I120" s="380">
        <f t="shared" si="10"/>
        <v>724</v>
      </c>
      <c r="J120" s="380">
        <v>43</v>
      </c>
      <c r="K120" s="350">
        <v>0</v>
      </c>
      <c r="L120" s="350">
        <v>233</v>
      </c>
      <c r="M120" s="350">
        <v>466</v>
      </c>
      <c r="N120" s="445">
        <f t="shared" si="13"/>
        <v>621.33178</v>
      </c>
      <c r="O120" s="799">
        <f t="shared" si="14"/>
        <v>776.664725</v>
      </c>
      <c r="P120" s="358">
        <f t="shared" si="8"/>
        <v>2451</v>
      </c>
      <c r="Q120" s="27">
        <v>150</v>
      </c>
      <c r="R120" s="25">
        <v>0</v>
      </c>
      <c r="S120" s="25">
        <v>0</v>
      </c>
      <c r="T120" s="359"/>
    </row>
    <row r="121" spans="1:20" ht="12.75">
      <c r="A121" s="25">
        <v>725</v>
      </c>
      <c r="B121" s="26" t="s">
        <v>142</v>
      </c>
      <c r="C121" s="25">
        <v>1592</v>
      </c>
      <c r="D121" s="155">
        <v>89</v>
      </c>
      <c r="E121" s="155">
        <v>89</v>
      </c>
      <c r="F121" s="283">
        <f t="shared" si="12"/>
        <v>89</v>
      </c>
      <c r="G121" s="283">
        <v>89</v>
      </c>
      <c r="H121" s="283">
        <v>89</v>
      </c>
      <c r="I121" s="380">
        <f t="shared" si="10"/>
        <v>725</v>
      </c>
      <c r="J121" s="380">
        <v>89</v>
      </c>
      <c r="K121" s="350">
        <v>0</v>
      </c>
      <c r="L121" s="350">
        <v>116</v>
      </c>
      <c r="M121" s="350">
        <v>233</v>
      </c>
      <c r="N121" s="445">
        <f t="shared" si="13"/>
        <v>310.66589</v>
      </c>
      <c r="O121" s="799">
        <f t="shared" si="14"/>
        <v>388.3323625</v>
      </c>
      <c r="P121" s="358">
        <f t="shared" si="8"/>
        <v>1914</v>
      </c>
      <c r="Q121" s="27">
        <v>0</v>
      </c>
      <c r="R121" s="25">
        <v>0</v>
      </c>
      <c r="S121" s="25">
        <v>0</v>
      </c>
      <c r="T121" s="367">
        <v>738</v>
      </c>
    </row>
    <row r="122" spans="1:20" ht="12.75">
      <c r="A122" s="25">
        <v>726</v>
      </c>
      <c r="B122" s="26" t="s">
        <v>143</v>
      </c>
      <c r="C122" s="25">
        <v>1500</v>
      </c>
      <c r="D122" s="155">
        <v>101</v>
      </c>
      <c r="E122" s="155">
        <v>101</v>
      </c>
      <c r="F122" s="283">
        <f t="shared" si="12"/>
        <v>101</v>
      </c>
      <c r="G122" s="283">
        <v>101</v>
      </c>
      <c r="H122" s="283">
        <v>101</v>
      </c>
      <c r="I122" s="380">
        <f t="shared" si="10"/>
        <v>726</v>
      </c>
      <c r="J122" s="380">
        <v>101</v>
      </c>
      <c r="K122" s="350">
        <v>0</v>
      </c>
      <c r="L122" s="350">
        <v>0</v>
      </c>
      <c r="M122" s="350">
        <v>0</v>
      </c>
      <c r="N122" s="445">
        <f>M122*1.1</f>
        <v>0</v>
      </c>
      <c r="O122" s="800">
        <f>N122</f>
        <v>0</v>
      </c>
      <c r="P122" s="358">
        <f t="shared" si="8"/>
        <v>1601</v>
      </c>
      <c r="Q122" s="27">
        <v>150</v>
      </c>
      <c r="R122" s="25">
        <v>0</v>
      </c>
      <c r="S122" s="25">
        <v>0</v>
      </c>
      <c r="T122" s="359"/>
    </row>
    <row r="123" spans="1:20" ht="12.75">
      <c r="A123" s="360">
        <v>727</v>
      </c>
      <c r="B123" s="384" t="s">
        <v>144</v>
      </c>
      <c r="C123" s="385">
        <v>1600</v>
      </c>
      <c r="D123" s="386">
        <v>88</v>
      </c>
      <c r="E123" s="386">
        <v>88</v>
      </c>
      <c r="F123" s="374">
        <f t="shared" si="12"/>
        <v>88</v>
      </c>
      <c r="G123" s="374">
        <v>88</v>
      </c>
      <c r="H123" s="374">
        <v>88</v>
      </c>
      <c r="I123" s="387">
        <f t="shared" si="10"/>
        <v>727</v>
      </c>
      <c r="J123" s="387">
        <v>88</v>
      </c>
      <c r="K123" s="374">
        <v>0</v>
      </c>
      <c r="L123" s="374">
        <v>116</v>
      </c>
      <c r="M123" s="374">
        <v>233</v>
      </c>
      <c r="N123" s="445">
        <f t="shared" si="13"/>
        <v>310.66589</v>
      </c>
      <c r="O123" s="799">
        <f>N123*1.25</f>
        <v>388.3323625</v>
      </c>
      <c r="P123" s="358">
        <f t="shared" si="8"/>
        <v>1921</v>
      </c>
      <c r="Q123" s="365">
        <v>0</v>
      </c>
      <c r="R123" s="360">
        <v>0</v>
      </c>
      <c r="S123" s="360">
        <v>0</v>
      </c>
      <c r="T123" s="367">
        <v>738</v>
      </c>
    </row>
    <row r="124" spans="1:20" ht="12.75">
      <c r="A124" s="25">
        <v>728</v>
      </c>
      <c r="B124" s="26" t="s">
        <v>145</v>
      </c>
      <c r="C124" s="25">
        <v>1942</v>
      </c>
      <c r="D124" s="155">
        <v>120</v>
      </c>
      <c r="E124" s="155">
        <v>120</v>
      </c>
      <c r="F124" s="283">
        <f t="shared" si="12"/>
        <v>120</v>
      </c>
      <c r="G124" s="283">
        <v>120</v>
      </c>
      <c r="H124" s="283">
        <v>120</v>
      </c>
      <c r="I124" s="380">
        <f t="shared" si="10"/>
        <v>728</v>
      </c>
      <c r="J124" s="380">
        <v>43</v>
      </c>
      <c r="K124" s="350">
        <v>0</v>
      </c>
      <c r="L124" s="350">
        <v>116</v>
      </c>
      <c r="M124" s="350">
        <v>233</v>
      </c>
      <c r="N124" s="445">
        <v>517.3</v>
      </c>
      <c r="O124" s="799">
        <f>N124*1.25</f>
        <v>646.625</v>
      </c>
      <c r="P124" s="358">
        <f t="shared" si="8"/>
        <v>2295</v>
      </c>
      <c r="Q124" s="27">
        <v>17</v>
      </c>
      <c r="R124" s="25">
        <v>0</v>
      </c>
      <c r="S124" s="25">
        <v>0</v>
      </c>
      <c r="T124" s="359"/>
    </row>
    <row r="125" spans="1:20" ht="12.75">
      <c r="A125" s="25">
        <v>729</v>
      </c>
      <c r="B125" s="26" t="s">
        <v>146</v>
      </c>
      <c r="C125" s="25">
        <v>1692</v>
      </c>
      <c r="D125" s="155">
        <v>76</v>
      </c>
      <c r="E125" s="155">
        <v>76</v>
      </c>
      <c r="F125" s="283">
        <f t="shared" si="12"/>
        <v>76</v>
      </c>
      <c r="G125" s="283">
        <v>76</v>
      </c>
      <c r="H125" s="283">
        <v>76</v>
      </c>
      <c r="I125" s="380">
        <f t="shared" si="10"/>
        <v>729</v>
      </c>
      <c r="J125" s="380">
        <v>76</v>
      </c>
      <c r="K125" s="350">
        <v>0</v>
      </c>
      <c r="L125" s="374">
        <v>194</v>
      </c>
      <c r="M125" s="374">
        <v>388</v>
      </c>
      <c r="N125" s="445">
        <f t="shared" si="13"/>
        <v>517.33204</v>
      </c>
      <c r="O125" s="799">
        <f>N125*1.25</f>
        <v>646.6650500000001</v>
      </c>
      <c r="P125" s="358">
        <f t="shared" si="8"/>
        <v>2156</v>
      </c>
      <c r="Q125" s="27">
        <v>0</v>
      </c>
      <c r="R125" s="25">
        <v>0</v>
      </c>
      <c r="S125" s="25">
        <v>0</v>
      </c>
      <c r="T125" s="359"/>
    </row>
    <row r="126" spans="1:20" ht="12.75">
      <c r="A126" s="25">
        <v>730</v>
      </c>
      <c r="B126" s="26" t="s">
        <v>147</v>
      </c>
      <c r="C126" s="25">
        <v>1700</v>
      </c>
      <c r="D126" s="155">
        <v>75</v>
      </c>
      <c r="E126" s="155">
        <v>75</v>
      </c>
      <c r="F126" s="283">
        <f t="shared" si="12"/>
        <v>75</v>
      </c>
      <c r="G126" s="283">
        <v>75</v>
      </c>
      <c r="H126" s="283">
        <v>75</v>
      </c>
      <c r="I126" s="380">
        <f t="shared" si="10"/>
        <v>730</v>
      </c>
      <c r="J126" s="380">
        <v>75</v>
      </c>
      <c r="K126" s="350">
        <v>0</v>
      </c>
      <c r="L126" s="374">
        <v>194</v>
      </c>
      <c r="M126" s="374">
        <v>388</v>
      </c>
      <c r="N126" s="445">
        <f t="shared" si="13"/>
        <v>517.33204</v>
      </c>
      <c r="O126" s="799">
        <f>N126*1.25</f>
        <v>646.6650500000001</v>
      </c>
      <c r="P126" s="358">
        <f t="shared" si="8"/>
        <v>2163</v>
      </c>
      <c r="Q126" s="27">
        <v>0</v>
      </c>
      <c r="R126" s="25">
        <v>0</v>
      </c>
      <c r="S126" s="25">
        <v>0</v>
      </c>
      <c r="T126" s="359"/>
    </row>
    <row r="127" spans="1:20" ht="12.75">
      <c r="A127" s="25">
        <v>731</v>
      </c>
      <c r="B127" s="26" t="s">
        <v>148</v>
      </c>
      <c r="C127" s="25">
        <v>1592</v>
      </c>
      <c r="D127" s="155">
        <v>89</v>
      </c>
      <c r="E127" s="155">
        <v>89</v>
      </c>
      <c r="F127" s="283">
        <f t="shared" si="12"/>
        <v>89</v>
      </c>
      <c r="G127" s="283">
        <v>89</v>
      </c>
      <c r="H127" s="283">
        <v>89</v>
      </c>
      <c r="I127" s="380">
        <f t="shared" si="10"/>
        <v>731</v>
      </c>
      <c r="J127" s="380">
        <v>89</v>
      </c>
      <c r="K127" s="350">
        <v>0</v>
      </c>
      <c r="L127" s="374">
        <v>175</v>
      </c>
      <c r="M127" s="374">
        <v>349</v>
      </c>
      <c r="N127" s="445">
        <f t="shared" si="13"/>
        <v>465.33216999999996</v>
      </c>
      <c r="O127" s="799">
        <f>N127*1.25</f>
        <v>581.6652124999999</v>
      </c>
      <c r="P127" s="358">
        <f t="shared" si="8"/>
        <v>2030</v>
      </c>
      <c r="Q127" s="27">
        <v>0</v>
      </c>
      <c r="R127" s="25">
        <v>0</v>
      </c>
      <c r="S127" s="25">
        <v>0</v>
      </c>
      <c r="T127" s="359"/>
    </row>
    <row r="128" spans="1:20" ht="12.75">
      <c r="A128" s="25">
        <v>732</v>
      </c>
      <c r="B128" s="26" t="s">
        <v>149</v>
      </c>
      <c r="C128" s="25">
        <v>971</v>
      </c>
      <c r="D128" s="155">
        <v>170</v>
      </c>
      <c r="E128" s="381">
        <v>216</v>
      </c>
      <c r="F128" s="283">
        <v>261</v>
      </c>
      <c r="G128" s="350">
        <v>327</v>
      </c>
      <c r="H128" s="350">
        <v>350</v>
      </c>
      <c r="I128" s="380">
        <f t="shared" si="10"/>
        <v>732</v>
      </c>
      <c r="J128" s="380">
        <v>414.7</v>
      </c>
      <c r="K128" s="350">
        <v>0</v>
      </c>
      <c r="L128" s="350">
        <v>0</v>
      </c>
      <c r="M128" s="350">
        <v>0</v>
      </c>
      <c r="N128" s="445">
        <f>M128*1.1</f>
        <v>0</v>
      </c>
      <c r="O128" s="800">
        <f>N128</f>
        <v>0</v>
      </c>
      <c r="P128" s="358">
        <f t="shared" si="8"/>
        <v>1298</v>
      </c>
      <c r="Q128" s="27">
        <v>150</v>
      </c>
      <c r="R128" s="25">
        <v>0</v>
      </c>
      <c r="S128" s="25">
        <v>0</v>
      </c>
      <c r="T128" s="359"/>
    </row>
    <row r="129" spans="1:20" ht="12.75">
      <c r="A129" s="25">
        <v>733</v>
      </c>
      <c r="B129" s="26" t="s">
        <v>150</v>
      </c>
      <c r="C129" s="25">
        <v>1150</v>
      </c>
      <c r="D129" s="155">
        <v>147</v>
      </c>
      <c r="E129" s="155">
        <v>147</v>
      </c>
      <c r="F129" s="283">
        <f>IF(C129&lt;972,E129+44,E129)</f>
        <v>147</v>
      </c>
      <c r="G129" s="283">
        <v>147</v>
      </c>
      <c r="H129" s="283">
        <v>147</v>
      </c>
      <c r="I129" s="380">
        <f t="shared" si="10"/>
        <v>733</v>
      </c>
      <c r="J129" s="380">
        <v>147</v>
      </c>
      <c r="K129" s="350">
        <v>0</v>
      </c>
      <c r="L129" s="350">
        <v>0</v>
      </c>
      <c r="M129" s="350">
        <v>0</v>
      </c>
      <c r="N129" s="445">
        <f>M129*1.1</f>
        <v>0</v>
      </c>
      <c r="O129" s="800">
        <f>N129</f>
        <v>0</v>
      </c>
      <c r="P129" s="358">
        <f t="shared" si="8"/>
        <v>1297</v>
      </c>
      <c r="Q129" s="27">
        <v>0</v>
      </c>
      <c r="R129" s="25">
        <v>0</v>
      </c>
      <c r="S129" s="25">
        <v>0</v>
      </c>
      <c r="T129" s="359"/>
    </row>
    <row r="130" spans="1:20" ht="12.75">
      <c r="A130" s="25">
        <v>734</v>
      </c>
      <c r="B130" s="26" t="s">
        <v>151</v>
      </c>
      <c r="C130" s="25">
        <v>1500</v>
      </c>
      <c r="D130" s="155">
        <v>101</v>
      </c>
      <c r="E130" s="155">
        <v>101</v>
      </c>
      <c r="F130" s="283">
        <f>IF(C130&lt;972,E130+44,E130)</f>
        <v>101</v>
      </c>
      <c r="G130" s="283">
        <v>101</v>
      </c>
      <c r="H130" s="283">
        <v>101</v>
      </c>
      <c r="I130" s="380">
        <f t="shared" si="10"/>
        <v>734</v>
      </c>
      <c r="J130" s="380">
        <v>101</v>
      </c>
      <c r="K130" s="350">
        <v>0</v>
      </c>
      <c r="L130" s="350">
        <v>0</v>
      </c>
      <c r="M130" s="350">
        <v>0</v>
      </c>
      <c r="N130" s="445">
        <f>M130*1.1</f>
        <v>0</v>
      </c>
      <c r="O130" s="800">
        <f>N130</f>
        <v>0</v>
      </c>
      <c r="P130" s="358">
        <f t="shared" si="8"/>
        <v>1601</v>
      </c>
      <c r="Q130" s="27">
        <v>150</v>
      </c>
      <c r="R130" s="25">
        <v>0</v>
      </c>
      <c r="S130" s="25">
        <v>0</v>
      </c>
      <c r="T130" s="359"/>
    </row>
    <row r="131" spans="1:20" ht="12.75">
      <c r="A131" s="25">
        <v>735</v>
      </c>
      <c r="B131" s="26" t="s">
        <v>152</v>
      </c>
      <c r="C131" s="25">
        <v>971</v>
      </c>
      <c r="D131" s="155">
        <v>170</v>
      </c>
      <c r="E131" s="381">
        <v>216</v>
      </c>
      <c r="F131" s="283">
        <v>261</v>
      </c>
      <c r="G131" s="350">
        <v>327</v>
      </c>
      <c r="H131" s="350">
        <v>350</v>
      </c>
      <c r="I131" s="380">
        <f t="shared" si="10"/>
        <v>735</v>
      </c>
      <c r="J131" s="380">
        <v>414.7</v>
      </c>
      <c r="K131" s="350">
        <v>0</v>
      </c>
      <c r="L131" s="350">
        <v>0</v>
      </c>
      <c r="M131" s="350">
        <v>0</v>
      </c>
      <c r="N131" s="445">
        <f>M131*1.1</f>
        <v>0</v>
      </c>
      <c r="O131" s="800">
        <f>N131</f>
        <v>0</v>
      </c>
      <c r="P131" s="358">
        <f aca="true" t="shared" si="15" ref="P131:P194">C131+G131+M131</f>
        <v>1298</v>
      </c>
      <c r="Q131" s="27">
        <v>150</v>
      </c>
      <c r="R131" s="25">
        <v>0</v>
      </c>
      <c r="S131" s="25">
        <v>0</v>
      </c>
      <c r="T131" s="359"/>
    </row>
    <row r="132" spans="1:20" ht="12.75">
      <c r="A132" s="25">
        <v>736</v>
      </c>
      <c r="B132" s="26" t="s">
        <v>153</v>
      </c>
      <c r="C132" s="25">
        <v>1600</v>
      </c>
      <c r="D132" s="155">
        <v>88</v>
      </c>
      <c r="E132" s="155">
        <v>88</v>
      </c>
      <c r="F132" s="283">
        <f>IF(C132&lt;972,E132+44,E132)</f>
        <v>88</v>
      </c>
      <c r="G132" s="283">
        <v>88</v>
      </c>
      <c r="H132" s="283">
        <v>88</v>
      </c>
      <c r="I132" s="380">
        <f t="shared" si="10"/>
        <v>736</v>
      </c>
      <c r="J132" s="380">
        <v>88</v>
      </c>
      <c r="K132" s="350">
        <v>0</v>
      </c>
      <c r="L132" s="374">
        <v>194</v>
      </c>
      <c r="M132" s="374">
        <v>388</v>
      </c>
      <c r="N132" s="445">
        <f>M132*1.33333</f>
        <v>517.33204</v>
      </c>
      <c r="O132" s="799">
        <f>N132*1.25</f>
        <v>646.6650500000001</v>
      </c>
      <c r="P132" s="358">
        <f t="shared" si="15"/>
        <v>2076</v>
      </c>
      <c r="Q132" s="27">
        <v>0</v>
      </c>
      <c r="R132" s="25">
        <v>0</v>
      </c>
      <c r="S132" s="25">
        <v>0</v>
      </c>
      <c r="T132" s="359"/>
    </row>
    <row r="133" spans="1:20" ht="12.75">
      <c r="A133" s="25">
        <v>737</v>
      </c>
      <c r="B133" s="26" t="s">
        <v>154</v>
      </c>
      <c r="C133" s="25">
        <v>971</v>
      </c>
      <c r="D133" s="155">
        <v>170</v>
      </c>
      <c r="E133" s="381">
        <v>216</v>
      </c>
      <c r="F133" s="283">
        <v>261</v>
      </c>
      <c r="G133" s="350">
        <v>327</v>
      </c>
      <c r="H133" s="350">
        <v>350</v>
      </c>
      <c r="I133" s="380">
        <f t="shared" si="10"/>
        <v>737</v>
      </c>
      <c r="J133" s="380">
        <v>414.7</v>
      </c>
      <c r="K133" s="350">
        <v>0</v>
      </c>
      <c r="L133" s="350">
        <v>0</v>
      </c>
      <c r="M133" s="350">
        <v>0</v>
      </c>
      <c r="N133" s="445">
        <f>M133*1.1</f>
        <v>0</v>
      </c>
      <c r="O133" s="800">
        <f>N133</f>
        <v>0</v>
      </c>
      <c r="P133" s="358">
        <f t="shared" si="15"/>
        <v>1298</v>
      </c>
      <c r="Q133" s="27">
        <v>150</v>
      </c>
      <c r="R133" s="25">
        <v>0</v>
      </c>
      <c r="S133" s="25">
        <v>0</v>
      </c>
      <c r="T133" s="359"/>
    </row>
    <row r="134" spans="1:20" ht="12.75">
      <c r="A134" s="25">
        <v>738</v>
      </c>
      <c r="B134" s="26" t="s">
        <v>155</v>
      </c>
      <c r="C134" s="25">
        <v>971</v>
      </c>
      <c r="D134" s="155">
        <v>170</v>
      </c>
      <c r="E134" s="381">
        <v>216</v>
      </c>
      <c r="F134" s="283">
        <v>261</v>
      </c>
      <c r="G134" s="350">
        <v>327</v>
      </c>
      <c r="H134" s="350">
        <v>350</v>
      </c>
      <c r="I134" s="380">
        <f aca="true" t="shared" si="16" ref="I134:I198">A134</f>
        <v>738</v>
      </c>
      <c r="J134" s="380">
        <v>414.7</v>
      </c>
      <c r="K134" s="350">
        <v>0</v>
      </c>
      <c r="L134" s="350">
        <v>0</v>
      </c>
      <c r="M134" s="350">
        <v>0</v>
      </c>
      <c r="N134" s="445">
        <f>M134*1.1</f>
        <v>0</v>
      </c>
      <c r="O134" s="800">
        <f>N134</f>
        <v>0</v>
      </c>
      <c r="P134" s="358">
        <f t="shared" si="15"/>
        <v>1298</v>
      </c>
      <c r="Q134" s="27">
        <v>17</v>
      </c>
      <c r="R134" s="25">
        <v>0</v>
      </c>
      <c r="S134" s="25">
        <v>0</v>
      </c>
      <c r="T134" s="359"/>
    </row>
    <row r="135" spans="1:20" ht="12.75">
      <c r="A135" s="25">
        <v>739</v>
      </c>
      <c r="B135" s="26" t="s">
        <v>156</v>
      </c>
      <c r="C135" s="25">
        <v>971</v>
      </c>
      <c r="D135" s="155">
        <v>170</v>
      </c>
      <c r="E135" s="381">
        <v>216</v>
      </c>
      <c r="F135" s="283">
        <v>261</v>
      </c>
      <c r="G135" s="350">
        <v>327</v>
      </c>
      <c r="H135" s="350">
        <v>350</v>
      </c>
      <c r="I135" s="380">
        <f t="shared" si="16"/>
        <v>739</v>
      </c>
      <c r="J135" s="380">
        <v>414.7</v>
      </c>
      <c r="K135" s="350">
        <v>0</v>
      </c>
      <c r="L135" s="350">
        <v>0</v>
      </c>
      <c r="M135" s="350">
        <v>0</v>
      </c>
      <c r="N135" s="445">
        <f>M135*1.1</f>
        <v>0</v>
      </c>
      <c r="O135" s="800">
        <f>N135</f>
        <v>0</v>
      </c>
      <c r="P135" s="358">
        <f t="shared" si="15"/>
        <v>1298</v>
      </c>
      <c r="Q135" s="27">
        <v>150</v>
      </c>
      <c r="R135" s="25">
        <v>0</v>
      </c>
      <c r="S135" s="25">
        <v>0</v>
      </c>
      <c r="T135" s="359"/>
    </row>
    <row r="136" spans="1:20" ht="12.75">
      <c r="A136" s="25">
        <v>740</v>
      </c>
      <c r="B136" s="26" t="s">
        <v>157</v>
      </c>
      <c r="C136" s="25">
        <v>971</v>
      </c>
      <c r="D136" s="155">
        <v>170</v>
      </c>
      <c r="E136" s="381">
        <v>216</v>
      </c>
      <c r="F136" s="283">
        <v>261</v>
      </c>
      <c r="G136" s="350">
        <v>327</v>
      </c>
      <c r="H136" s="350">
        <v>350</v>
      </c>
      <c r="I136" s="380">
        <f t="shared" si="16"/>
        <v>740</v>
      </c>
      <c r="J136" s="380">
        <v>414.7</v>
      </c>
      <c r="K136" s="350">
        <v>0</v>
      </c>
      <c r="L136" s="350">
        <v>0</v>
      </c>
      <c r="M136" s="350">
        <v>0</v>
      </c>
      <c r="N136" s="445">
        <f>M136*1.1</f>
        <v>0</v>
      </c>
      <c r="O136" s="800">
        <f>N136</f>
        <v>0</v>
      </c>
      <c r="P136" s="358">
        <f t="shared" si="15"/>
        <v>1298</v>
      </c>
      <c r="Q136" s="27">
        <v>150</v>
      </c>
      <c r="R136" s="25">
        <v>0</v>
      </c>
      <c r="S136" s="25">
        <v>0</v>
      </c>
      <c r="T136" s="359"/>
    </row>
    <row r="137" spans="1:20" ht="12.75">
      <c r="A137" s="25">
        <v>741</v>
      </c>
      <c r="B137" s="26" t="s">
        <v>158</v>
      </c>
      <c r="C137" s="25">
        <v>1300</v>
      </c>
      <c r="D137" s="155">
        <v>127</v>
      </c>
      <c r="E137" s="155">
        <v>127</v>
      </c>
      <c r="F137" s="283">
        <f>IF(C137&lt;972,E137+44,E137)</f>
        <v>127</v>
      </c>
      <c r="G137" s="283">
        <v>127</v>
      </c>
      <c r="H137" s="283">
        <v>127</v>
      </c>
      <c r="I137" s="380">
        <f t="shared" si="16"/>
        <v>741</v>
      </c>
      <c r="J137" s="380">
        <v>127</v>
      </c>
      <c r="K137" s="350">
        <v>0</v>
      </c>
      <c r="L137" s="374">
        <v>116</v>
      </c>
      <c r="M137" s="374">
        <v>233</v>
      </c>
      <c r="N137" s="445">
        <f>M137*1.33333</f>
        <v>310.66589</v>
      </c>
      <c r="O137" s="799">
        <f>N137*1.25</f>
        <v>388.3323625</v>
      </c>
      <c r="P137" s="358">
        <f t="shared" si="15"/>
        <v>1660</v>
      </c>
      <c r="Q137" s="27">
        <v>0</v>
      </c>
      <c r="R137" s="25">
        <v>0</v>
      </c>
      <c r="S137" s="25">
        <v>0</v>
      </c>
      <c r="T137" s="359"/>
    </row>
    <row r="138" spans="1:20" ht="12.75">
      <c r="A138" s="25">
        <v>742</v>
      </c>
      <c r="B138" s="26" t="s">
        <v>159</v>
      </c>
      <c r="C138" s="25">
        <v>971</v>
      </c>
      <c r="D138" s="155">
        <v>170</v>
      </c>
      <c r="E138" s="381">
        <v>216</v>
      </c>
      <c r="F138" s="283">
        <v>261</v>
      </c>
      <c r="G138" s="350">
        <v>327</v>
      </c>
      <c r="H138" s="350">
        <v>350</v>
      </c>
      <c r="I138" s="380">
        <f t="shared" si="16"/>
        <v>742</v>
      </c>
      <c r="J138" s="380">
        <v>414.7</v>
      </c>
      <c r="K138" s="350">
        <v>0</v>
      </c>
      <c r="L138" s="350">
        <v>0</v>
      </c>
      <c r="M138" s="350">
        <v>0</v>
      </c>
      <c r="N138" s="445">
        <f>M138*1.1</f>
        <v>0</v>
      </c>
      <c r="O138" s="800">
        <f>N138</f>
        <v>0</v>
      </c>
      <c r="P138" s="358">
        <f t="shared" si="15"/>
        <v>1298</v>
      </c>
      <c r="Q138" s="27">
        <v>150</v>
      </c>
      <c r="R138" s="25">
        <v>0</v>
      </c>
      <c r="S138" s="25">
        <v>0</v>
      </c>
      <c r="T138" s="359"/>
    </row>
    <row r="139" spans="1:20" ht="12.75">
      <c r="A139" s="29">
        <v>743</v>
      </c>
      <c r="B139" s="30" t="s">
        <v>160</v>
      </c>
      <c r="C139" s="29">
        <v>971</v>
      </c>
      <c r="D139" s="155">
        <v>170</v>
      </c>
      <c r="E139" s="381">
        <v>216</v>
      </c>
      <c r="F139" s="283">
        <v>261</v>
      </c>
      <c r="G139" s="350">
        <v>327</v>
      </c>
      <c r="H139" s="350">
        <v>350</v>
      </c>
      <c r="I139" s="380">
        <f t="shared" si="16"/>
        <v>743</v>
      </c>
      <c r="J139" s="380">
        <v>414.7</v>
      </c>
      <c r="K139" s="350">
        <v>0</v>
      </c>
      <c r="L139" s="350">
        <v>0</v>
      </c>
      <c r="M139" s="350">
        <v>0</v>
      </c>
      <c r="N139" s="445">
        <f>M139*1.1</f>
        <v>0</v>
      </c>
      <c r="O139" s="800">
        <f>N139</f>
        <v>0</v>
      </c>
      <c r="P139" s="358">
        <f t="shared" si="15"/>
        <v>1298</v>
      </c>
      <c r="Q139" s="31">
        <v>17</v>
      </c>
      <c r="R139" s="29">
        <v>0</v>
      </c>
      <c r="S139" s="29">
        <v>0</v>
      </c>
      <c r="T139" s="359"/>
    </row>
    <row r="140" spans="1:20" ht="12.75">
      <c r="A140" s="25">
        <v>744</v>
      </c>
      <c r="B140" s="26" t="s">
        <v>161</v>
      </c>
      <c r="C140" s="25">
        <v>1400</v>
      </c>
      <c r="D140" s="155">
        <v>114</v>
      </c>
      <c r="E140" s="155">
        <v>114</v>
      </c>
      <c r="F140" s="283">
        <f>IF(C140&lt;972,E140+44,E140)</f>
        <v>114</v>
      </c>
      <c r="G140" s="283">
        <v>114</v>
      </c>
      <c r="H140" s="283">
        <v>114</v>
      </c>
      <c r="I140" s="380">
        <f t="shared" si="16"/>
        <v>744</v>
      </c>
      <c r="J140" s="380">
        <v>114</v>
      </c>
      <c r="K140" s="350">
        <v>0</v>
      </c>
      <c r="L140" s="375">
        <v>116</v>
      </c>
      <c r="M140" s="375">
        <v>233</v>
      </c>
      <c r="N140" s="445">
        <f>M140*1.33333</f>
        <v>310.66589</v>
      </c>
      <c r="O140" s="799">
        <f>N140*1.25</f>
        <v>388.3323625</v>
      </c>
      <c r="P140" s="358">
        <f t="shared" si="15"/>
        <v>1747</v>
      </c>
      <c r="Q140" s="27">
        <v>0</v>
      </c>
      <c r="R140" s="25">
        <v>0</v>
      </c>
      <c r="S140" s="25">
        <v>0</v>
      </c>
      <c r="T140" s="359"/>
    </row>
    <row r="141" spans="1:20" ht="12.75">
      <c r="A141" s="25">
        <v>745</v>
      </c>
      <c r="B141" s="26" t="s">
        <v>162</v>
      </c>
      <c r="C141" s="25">
        <v>1450</v>
      </c>
      <c r="D141" s="155">
        <v>107</v>
      </c>
      <c r="E141" s="155">
        <v>107</v>
      </c>
      <c r="F141" s="283">
        <f>IF(C141&lt;972,E141+44,E141)</f>
        <v>107</v>
      </c>
      <c r="G141" s="283">
        <v>107</v>
      </c>
      <c r="H141" s="283">
        <v>107</v>
      </c>
      <c r="I141" s="380">
        <f t="shared" si="16"/>
        <v>745</v>
      </c>
      <c r="J141" s="380">
        <v>107</v>
      </c>
      <c r="K141" s="350">
        <v>0</v>
      </c>
      <c r="L141" s="350">
        <v>0</v>
      </c>
      <c r="M141" s="350">
        <v>0</v>
      </c>
      <c r="N141" s="445">
        <f>M141*1.1</f>
        <v>0</v>
      </c>
      <c r="O141" s="800">
        <f>N141</f>
        <v>0</v>
      </c>
      <c r="P141" s="358">
        <f t="shared" si="15"/>
        <v>1557</v>
      </c>
      <c r="Q141" s="27">
        <v>0</v>
      </c>
      <c r="R141" s="25">
        <v>0</v>
      </c>
      <c r="S141" s="25">
        <v>0</v>
      </c>
      <c r="T141" s="359"/>
    </row>
    <row r="142" spans="1:20" ht="12.75">
      <c r="A142" s="25">
        <v>746</v>
      </c>
      <c r="B142" s="26" t="s">
        <v>163</v>
      </c>
      <c r="C142" s="25">
        <v>971</v>
      </c>
      <c r="D142" s="155">
        <v>170</v>
      </c>
      <c r="E142" s="381">
        <v>216</v>
      </c>
      <c r="F142" s="283">
        <v>261</v>
      </c>
      <c r="G142" s="350">
        <v>327</v>
      </c>
      <c r="H142" s="350">
        <v>350</v>
      </c>
      <c r="I142" s="380">
        <f t="shared" si="16"/>
        <v>746</v>
      </c>
      <c r="J142" s="380">
        <v>414.7</v>
      </c>
      <c r="K142" s="350">
        <v>0</v>
      </c>
      <c r="L142" s="350">
        <v>0</v>
      </c>
      <c r="M142" s="350">
        <v>0</v>
      </c>
      <c r="N142" s="445">
        <f>M142*1.1</f>
        <v>0</v>
      </c>
      <c r="O142" s="800">
        <f>N142</f>
        <v>0</v>
      </c>
      <c r="P142" s="358">
        <f t="shared" si="15"/>
        <v>1298</v>
      </c>
      <c r="Q142" s="27">
        <v>150</v>
      </c>
      <c r="R142" s="25">
        <v>0</v>
      </c>
      <c r="S142" s="25">
        <v>0</v>
      </c>
      <c r="T142" s="359"/>
    </row>
    <row r="143" spans="1:20" ht="12.75">
      <c r="A143" s="25">
        <v>747</v>
      </c>
      <c r="B143" s="26" t="s">
        <v>164</v>
      </c>
      <c r="C143" s="25">
        <v>971</v>
      </c>
      <c r="D143" s="155">
        <v>170</v>
      </c>
      <c r="E143" s="381">
        <v>216</v>
      </c>
      <c r="F143" s="283">
        <v>261</v>
      </c>
      <c r="G143" s="350">
        <v>327</v>
      </c>
      <c r="H143" s="350">
        <v>350</v>
      </c>
      <c r="I143" s="380">
        <f t="shared" si="16"/>
        <v>747</v>
      </c>
      <c r="J143" s="380">
        <v>414.7</v>
      </c>
      <c r="K143" s="350">
        <v>0</v>
      </c>
      <c r="L143" s="350">
        <v>0</v>
      </c>
      <c r="M143" s="350">
        <v>0</v>
      </c>
      <c r="N143" s="445">
        <f>M143*1.1</f>
        <v>0</v>
      </c>
      <c r="O143" s="800">
        <f>N143</f>
        <v>0</v>
      </c>
      <c r="P143" s="358">
        <f t="shared" si="15"/>
        <v>1298</v>
      </c>
      <c r="Q143" s="27">
        <v>0</v>
      </c>
      <c r="R143" s="25">
        <v>0</v>
      </c>
      <c r="S143" s="25">
        <v>0</v>
      </c>
      <c r="T143" s="359"/>
    </row>
    <row r="144" spans="1:20" ht="12.75">
      <c r="A144" s="25">
        <v>748</v>
      </c>
      <c r="B144" s="26" t="s">
        <v>165</v>
      </c>
      <c r="C144" s="25">
        <v>1250</v>
      </c>
      <c r="D144" s="155">
        <v>134</v>
      </c>
      <c r="E144" s="155">
        <v>134</v>
      </c>
      <c r="F144" s="283">
        <f>IF(C144&lt;972,E144+44,E144)</f>
        <v>134</v>
      </c>
      <c r="G144" s="283">
        <v>134</v>
      </c>
      <c r="H144" s="283">
        <v>134</v>
      </c>
      <c r="I144" s="380">
        <f t="shared" si="16"/>
        <v>748</v>
      </c>
      <c r="J144" s="380">
        <v>134</v>
      </c>
      <c r="K144" s="350">
        <v>0</v>
      </c>
      <c r="L144" s="374">
        <v>116</v>
      </c>
      <c r="M144" s="374">
        <v>233</v>
      </c>
      <c r="N144" s="445">
        <f>M144*1.33333</f>
        <v>310.66589</v>
      </c>
      <c r="O144" s="799">
        <f>N144*1.25</f>
        <v>388.3323625</v>
      </c>
      <c r="P144" s="358">
        <f t="shared" si="15"/>
        <v>1617</v>
      </c>
      <c r="Q144" s="27">
        <v>0</v>
      </c>
      <c r="R144" s="25">
        <v>0</v>
      </c>
      <c r="S144" s="25">
        <v>0</v>
      </c>
      <c r="T144" s="359"/>
    </row>
    <row r="145" spans="1:20" s="383" customFormat="1" ht="12.75">
      <c r="A145" s="360">
        <v>749</v>
      </c>
      <c r="B145" s="361" t="s">
        <v>65</v>
      </c>
      <c r="C145" s="360">
        <v>971</v>
      </c>
      <c r="D145" s="362">
        <v>170</v>
      </c>
      <c r="E145" s="378">
        <v>216</v>
      </c>
      <c r="F145" s="283">
        <v>261</v>
      </c>
      <c r="G145" s="350">
        <v>327</v>
      </c>
      <c r="H145" s="350">
        <v>350</v>
      </c>
      <c r="I145" s="382">
        <f t="shared" si="16"/>
        <v>749</v>
      </c>
      <c r="J145" s="382">
        <v>414.7</v>
      </c>
      <c r="K145" s="351">
        <v>0</v>
      </c>
      <c r="L145" s="351">
        <v>0</v>
      </c>
      <c r="M145" s="351">
        <v>0</v>
      </c>
      <c r="N145" s="445">
        <f>M145*1.1</f>
        <v>0</v>
      </c>
      <c r="O145" s="800">
        <f>N145</f>
        <v>0</v>
      </c>
      <c r="P145" s="358">
        <f t="shared" si="15"/>
        <v>1298</v>
      </c>
      <c r="Q145" s="365">
        <v>0</v>
      </c>
      <c r="R145" s="360">
        <v>0</v>
      </c>
      <c r="S145" s="360">
        <v>0</v>
      </c>
      <c r="T145" s="366"/>
    </row>
    <row r="146" spans="1:20" ht="12.75">
      <c r="A146" s="25">
        <v>750</v>
      </c>
      <c r="B146" s="26" t="s">
        <v>64</v>
      </c>
      <c r="C146" s="25">
        <v>971</v>
      </c>
      <c r="D146" s="155">
        <v>170</v>
      </c>
      <c r="E146" s="381">
        <v>216</v>
      </c>
      <c r="F146" s="283">
        <v>261</v>
      </c>
      <c r="G146" s="350">
        <v>327</v>
      </c>
      <c r="H146" s="350">
        <v>350</v>
      </c>
      <c r="I146" s="380">
        <f t="shared" si="16"/>
        <v>750</v>
      </c>
      <c r="J146" s="380">
        <v>414.7</v>
      </c>
      <c r="K146" s="350">
        <v>0</v>
      </c>
      <c r="L146" s="350">
        <v>0</v>
      </c>
      <c r="M146" s="350">
        <v>0</v>
      </c>
      <c r="N146" s="445">
        <f>M146*1.1</f>
        <v>0</v>
      </c>
      <c r="O146" s="800">
        <f>N146</f>
        <v>0</v>
      </c>
      <c r="P146" s="358">
        <f t="shared" si="15"/>
        <v>1298</v>
      </c>
      <c r="Q146" s="27">
        <v>0</v>
      </c>
      <c r="R146" s="25">
        <v>0</v>
      </c>
      <c r="S146" s="25">
        <v>0</v>
      </c>
      <c r="T146" s="359"/>
    </row>
    <row r="147" spans="1:20" ht="12.75">
      <c r="A147" s="25">
        <v>751</v>
      </c>
      <c r="B147" s="388" t="s">
        <v>389</v>
      </c>
      <c r="C147" s="25">
        <v>1500</v>
      </c>
      <c r="D147" s="155">
        <v>101</v>
      </c>
      <c r="E147" s="155">
        <v>101</v>
      </c>
      <c r="F147" s="283">
        <f>IF(C147&lt;972,E147+44,E147)</f>
        <v>101</v>
      </c>
      <c r="G147" s="283">
        <v>101</v>
      </c>
      <c r="H147" s="283">
        <v>101</v>
      </c>
      <c r="I147" s="380">
        <f t="shared" si="16"/>
        <v>751</v>
      </c>
      <c r="J147" s="380">
        <v>101</v>
      </c>
      <c r="K147" s="350">
        <v>0</v>
      </c>
      <c r="L147" s="374">
        <v>116</v>
      </c>
      <c r="M147" s="374">
        <v>233</v>
      </c>
      <c r="N147" s="445">
        <f>M147*1.33333</f>
        <v>310.66589</v>
      </c>
      <c r="O147" s="799">
        <f>N147*1.25</f>
        <v>388.3323625</v>
      </c>
      <c r="P147" s="358">
        <f t="shared" si="15"/>
        <v>1834</v>
      </c>
      <c r="Q147" s="27">
        <v>150</v>
      </c>
      <c r="R147" s="25">
        <v>0</v>
      </c>
      <c r="S147" s="25">
        <v>0</v>
      </c>
      <c r="T147" s="359"/>
    </row>
    <row r="148" spans="1:20" ht="12.75">
      <c r="A148" s="25">
        <v>752</v>
      </c>
      <c r="B148" s="26" t="s">
        <v>167</v>
      </c>
      <c r="C148" s="25">
        <v>2913</v>
      </c>
      <c r="D148" s="155">
        <v>0</v>
      </c>
      <c r="E148" s="155">
        <v>0</v>
      </c>
      <c r="F148" s="283">
        <f>IF(C148&lt;972,E148+44,E148)</f>
        <v>0</v>
      </c>
      <c r="G148" s="283">
        <v>0</v>
      </c>
      <c r="H148" s="283">
        <v>0</v>
      </c>
      <c r="I148" s="380">
        <f t="shared" si="16"/>
        <v>752</v>
      </c>
      <c r="J148" s="380">
        <v>0</v>
      </c>
      <c r="K148" s="350">
        <v>0</v>
      </c>
      <c r="L148" s="350">
        <v>0</v>
      </c>
      <c r="M148" s="350">
        <v>0</v>
      </c>
      <c r="N148" s="445">
        <f>M148*1.1</f>
        <v>0</v>
      </c>
      <c r="O148" s="800">
        <f>N148</f>
        <v>0</v>
      </c>
      <c r="P148" s="358">
        <f t="shared" si="15"/>
        <v>2913</v>
      </c>
      <c r="Q148" s="27">
        <v>20</v>
      </c>
      <c r="R148" s="25">
        <v>0</v>
      </c>
      <c r="S148" s="25">
        <v>0</v>
      </c>
      <c r="T148" s="359"/>
    </row>
    <row r="149" spans="1:20" ht="12.75">
      <c r="A149" s="25">
        <v>753</v>
      </c>
      <c r="B149" s="26" t="s">
        <v>168</v>
      </c>
      <c r="C149" s="25">
        <v>1942</v>
      </c>
      <c r="D149" s="155">
        <v>43</v>
      </c>
      <c r="E149" s="155">
        <v>43</v>
      </c>
      <c r="F149" s="283">
        <f>IF(C149&lt;972,E149+44,E149)</f>
        <v>43</v>
      </c>
      <c r="G149" s="283">
        <v>43</v>
      </c>
      <c r="H149" s="283">
        <v>43</v>
      </c>
      <c r="I149" s="380">
        <f t="shared" si="16"/>
        <v>753</v>
      </c>
      <c r="J149" s="380">
        <v>43</v>
      </c>
      <c r="K149" s="350">
        <v>0</v>
      </c>
      <c r="L149" s="350">
        <v>233</v>
      </c>
      <c r="M149" s="350">
        <v>466</v>
      </c>
      <c r="N149" s="445">
        <f>M149*1.33333</f>
        <v>621.33178</v>
      </c>
      <c r="O149" s="799">
        <f>N149*1.25</f>
        <v>776.664725</v>
      </c>
      <c r="P149" s="358">
        <f t="shared" si="15"/>
        <v>2451</v>
      </c>
      <c r="Q149" s="27">
        <v>150</v>
      </c>
      <c r="R149" s="25">
        <v>0</v>
      </c>
      <c r="S149" s="25">
        <v>0</v>
      </c>
      <c r="T149" s="359"/>
    </row>
    <row r="150" spans="1:20" ht="12.75">
      <c r="A150" s="25">
        <v>754</v>
      </c>
      <c r="B150" s="26" t="s">
        <v>169</v>
      </c>
      <c r="C150" s="25">
        <v>971</v>
      </c>
      <c r="D150" s="155">
        <v>170</v>
      </c>
      <c r="E150" s="381">
        <v>216</v>
      </c>
      <c r="F150" s="283">
        <v>261</v>
      </c>
      <c r="G150" s="350">
        <v>327</v>
      </c>
      <c r="H150" s="350">
        <v>350</v>
      </c>
      <c r="I150" s="380">
        <f t="shared" si="16"/>
        <v>754</v>
      </c>
      <c r="J150" s="380">
        <v>414.7</v>
      </c>
      <c r="K150" s="350">
        <v>0</v>
      </c>
      <c r="L150" s="350">
        <v>0</v>
      </c>
      <c r="M150" s="350">
        <v>0</v>
      </c>
      <c r="N150" s="445">
        <f>M150*1.1</f>
        <v>0</v>
      </c>
      <c r="O150" s="800">
        <f>N150</f>
        <v>0</v>
      </c>
      <c r="P150" s="358">
        <f t="shared" si="15"/>
        <v>1298</v>
      </c>
      <c r="Q150" s="27">
        <v>0</v>
      </c>
      <c r="R150" s="25">
        <v>0</v>
      </c>
      <c r="S150" s="25">
        <v>0</v>
      </c>
      <c r="T150" s="359"/>
    </row>
    <row r="151" spans="1:20" ht="12.75">
      <c r="A151" s="25">
        <v>755</v>
      </c>
      <c r="B151" s="26" t="s">
        <v>170</v>
      </c>
      <c r="C151" s="25">
        <v>971</v>
      </c>
      <c r="D151" s="155">
        <v>170</v>
      </c>
      <c r="E151" s="381">
        <v>216</v>
      </c>
      <c r="F151" s="283">
        <v>261</v>
      </c>
      <c r="G151" s="350">
        <v>327</v>
      </c>
      <c r="H151" s="350">
        <v>350</v>
      </c>
      <c r="I151" s="380">
        <f t="shared" si="16"/>
        <v>755</v>
      </c>
      <c r="J151" s="380">
        <v>414.7</v>
      </c>
      <c r="K151" s="350">
        <v>0</v>
      </c>
      <c r="L151" s="350">
        <v>0</v>
      </c>
      <c r="M151" s="350">
        <v>0</v>
      </c>
      <c r="N151" s="445">
        <f>M151*1.1</f>
        <v>0</v>
      </c>
      <c r="O151" s="800">
        <f>N151</f>
        <v>0</v>
      </c>
      <c r="P151" s="358">
        <f t="shared" si="15"/>
        <v>1298</v>
      </c>
      <c r="Q151" s="27">
        <v>0</v>
      </c>
      <c r="R151" s="25">
        <v>0</v>
      </c>
      <c r="S151" s="25">
        <v>0</v>
      </c>
      <c r="T151" s="359"/>
    </row>
    <row r="152" spans="1:20" ht="12.75">
      <c r="A152" s="25">
        <v>756</v>
      </c>
      <c r="B152" s="26" t="s">
        <v>171</v>
      </c>
      <c r="C152" s="25">
        <v>1290</v>
      </c>
      <c r="D152" s="155">
        <v>128</v>
      </c>
      <c r="E152" s="155">
        <v>128</v>
      </c>
      <c r="F152" s="283">
        <f>IF(C152&lt;972,E152+44,E152)</f>
        <v>128</v>
      </c>
      <c r="G152" s="283">
        <v>128</v>
      </c>
      <c r="H152" s="283">
        <v>128</v>
      </c>
      <c r="I152" s="380">
        <f t="shared" si="16"/>
        <v>756</v>
      </c>
      <c r="J152" s="380">
        <v>128</v>
      </c>
      <c r="K152" s="350">
        <v>0</v>
      </c>
      <c r="L152" s="374">
        <v>116</v>
      </c>
      <c r="M152" s="374">
        <v>232</v>
      </c>
      <c r="N152" s="445">
        <f>M152*1.33333</f>
        <v>309.33256</v>
      </c>
      <c r="O152" s="799">
        <f>N152*1.25</f>
        <v>386.6657</v>
      </c>
      <c r="P152" s="358">
        <f t="shared" si="15"/>
        <v>1650</v>
      </c>
      <c r="Q152" s="27">
        <v>0</v>
      </c>
      <c r="R152" s="25">
        <v>0</v>
      </c>
      <c r="S152" s="25">
        <v>0</v>
      </c>
      <c r="T152" s="359"/>
    </row>
    <row r="153" spans="1:20" ht="12.75">
      <c r="A153" s="25">
        <v>757</v>
      </c>
      <c r="B153" s="26" t="s">
        <v>172</v>
      </c>
      <c r="C153" s="25">
        <v>971</v>
      </c>
      <c r="D153" s="155">
        <v>170</v>
      </c>
      <c r="E153" s="381">
        <v>216</v>
      </c>
      <c r="F153" s="283">
        <v>261</v>
      </c>
      <c r="G153" s="350">
        <v>327</v>
      </c>
      <c r="H153" s="350">
        <v>350</v>
      </c>
      <c r="I153" s="380">
        <f t="shared" si="16"/>
        <v>757</v>
      </c>
      <c r="J153" s="380">
        <v>414.7</v>
      </c>
      <c r="K153" s="350">
        <v>0</v>
      </c>
      <c r="L153" s="350">
        <v>0</v>
      </c>
      <c r="M153" s="350">
        <v>0</v>
      </c>
      <c r="N153" s="445">
        <f>M153*1.1</f>
        <v>0</v>
      </c>
      <c r="O153" s="800">
        <f>N153</f>
        <v>0</v>
      </c>
      <c r="P153" s="358">
        <f t="shared" si="15"/>
        <v>1298</v>
      </c>
      <c r="Q153" s="27">
        <v>0</v>
      </c>
      <c r="R153" s="25">
        <v>0</v>
      </c>
      <c r="S153" s="25">
        <v>0</v>
      </c>
      <c r="T153" s="359"/>
    </row>
    <row r="154" spans="1:20" ht="12.75">
      <c r="A154" s="25">
        <v>758</v>
      </c>
      <c r="B154" s="26" t="s">
        <v>173</v>
      </c>
      <c r="C154" s="25">
        <v>971</v>
      </c>
      <c r="D154" s="155">
        <v>170</v>
      </c>
      <c r="E154" s="381">
        <v>216</v>
      </c>
      <c r="F154" s="283">
        <v>261</v>
      </c>
      <c r="G154" s="350">
        <v>327</v>
      </c>
      <c r="H154" s="350">
        <v>350</v>
      </c>
      <c r="I154" s="380">
        <f t="shared" si="16"/>
        <v>758</v>
      </c>
      <c r="J154" s="380">
        <v>414.7</v>
      </c>
      <c r="K154" s="350">
        <v>0</v>
      </c>
      <c r="L154" s="350">
        <v>0</v>
      </c>
      <c r="M154" s="350">
        <v>0</v>
      </c>
      <c r="N154" s="445">
        <f>M154*1.1</f>
        <v>0</v>
      </c>
      <c r="O154" s="800">
        <f>N154</f>
        <v>0</v>
      </c>
      <c r="P154" s="358">
        <f t="shared" si="15"/>
        <v>1298</v>
      </c>
      <c r="Q154" s="27">
        <v>0</v>
      </c>
      <c r="R154" s="25">
        <v>0</v>
      </c>
      <c r="S154" s="25">
        <v>0</v>
      </c>
      <c r="T154" s="359"/>
    </row>
    <row r="155" spans="1:20" ht="12.75">
      <c r="A155" s="25">
        <v>759</v>
      </c>
      <c r="B155" s="26" t="s">
        <v>174</v>
      </c>
      <c r="C155" s="25">
        <v>971</v>
      </c>
      <c r="D155" s="155">
        <v>170</v>
      </c>
      <c r="E155" s="381">
        <v>216</v>
      </c>
      <c r="F155" s="283">
        <v>261</v>
      </c>
      <c r="G155" s="350">
        <v>327</v>
      </c>
      <c r="H155" s="350">
        <v>350</v>
      </c>
      <c r="I155" s="380">
        <f t="shared" si="16"/>
        <v>759</v>
      </c>
      <c r="J155" s="380">
        <v>414.7</v>
      </c>
      <c r="K155" s="350">
        <v>0</v>
      </c>
      <c r="L155" s="350">
        <v>0</v>
      </c>
      <c r="M155" s="350">
        <v>0</v>
      </c>
      <c r="N155" s="445">
        <f>M155*1.1</f>
        <v>0</v>
      </c>
      <c r="O155" s="800">
        <f>N155</f>
        <v>0</v>
      </c>
      <c r="P155" s="358">
        <f t="shared" si="15"/>
        <v>1298</v>
      </c>
      <c r="Q155" s="27">
        <v>150</v>
      </c>
      <c r="R155" s="25">
        <v>0</v>
      </c>
      <c r="S155" s="25">
        <v>0</v>
      </c>
      <c r="T155" s="359"/>
    </row>
    <row r="156" spans="1:20" ht="12.75">
      <c r="A156" s="25">
        <v>760</v>
      </c>
      <c r="B156" s="26" t="s">
        <v>175</v>
      </c>
      <c r="C156" s="25">
        <v>1400</v>
      </c>
      <c r="D156" s="155">
        <v>114</v>
      </c>
      <c r="E156" s="155">
        <v>114</v>
      </c>
      <c r="F156" s="283">
        <f>IF(C156&lt;972,E156+44,E156)</f>
        <v>114</v>
      </c>
      <c r="G156" s="283">
        <v>114</v>
      </c>
      <c r="H156" s="283">
        <v>114</v>
      </c>
      <c r="I156" s="380">
        <f t="shared" si="16"/>
        <v>760</v>
      </c>
      <c r="J156" s="380">
        <v>114</v>
      </c>
      <c r="K156" s="350">
        <v>0</v>
      </c>
      <c r="L156" s="350">
        <v>0</v>
      </c>
      <c r="M156" s="350">
        <v>0</v>
      </c>
      <c r="N156" s="445">
        <f>M156*1.1</f>
        <v>0</v>
      </c>
      <c r="O156" s="800">
        <f>N156</f>
        <v>0</v>
      </c>
      <c r="P156" s="358">
        <f t="shared" si="15"/>
        <v>1514</v>
      </c>
      <c r="Q156" s="27">
        <v>0</v>
      </c>
      <c r="R156" s="25">
        <v>0</v>
      </c>
      <c r="S156" s="25">
        <v>0</v>
      </c>
      <c r="T156" s="359"/>
    </row>
    <row r="157" spans="1:20" ht="12.75">
      <c r="A157" s="25">
        <v>761</v>
      </c>
      <c r="B157" s="26" t="s">
        <v>176</v>
      </c>
      <c r="C157" s="25">
        <v>1700</v>
      </c>
      <c r="D157" s="155">
        <v>75</v>
      </c>
      <c r="E157" s="155">
        <v>75</v>
      </c>
      <c r="F157" s="283">
        <f>IF(C157&lt;972,E157+44,E157)</f>
        <v>75</v>
      </c>
      <c r="G157" s="283">
        <v>75</v>
      </c>
      <c r="H157" s="283">
        <v>75</v>
      </c>
      <c r="I157" s="380">
        <f t="shared" si="16"/>
        <v>761</v>
      </c>
      <c r="J157" s="380">
        <v>75</v>
      </c>
      <c r="K157" s="350">
        <v>0</v>
      </c>
      <c r="L157" s="350">
        <v>136</v>
      </c>
      <c r="M157" s="350">
        <v>272</v>
      </c>
      <c r="N157" s="445">
        <f>M157*1.33333</f>
        <v>362.66576</v>
      </c>
      <c r="O157" s="799">
        <f>N157*1.25</f>
        <v>453.33219999999994</v>
      </c>
      <c r="P157" s="358">
        <f t="shared" si="15"/>
        <v>2047</v>
      </c>
      <c r="Q157" s="27">
        <v>150</v>
      </c>
      <c r="R157" s="25">
        <v>0</v>
      </c>
      <c r="S157" s="25">
        <v>0</v>
      </c>
      <c r="T157" s="359"/>
    </row>
    <row r="158" spans="1:20" ht="12.75">
      <c r="A158" s="25">
        <v>762</v>
      </c>
      <c r="B158" s="26" t="s">
        <v>177</v>
      </c>
      <c r="C158" s="25">
        <v>971</v>
      </c>
      <c r="D158" s="155">
        <v>170</v>
      </c>
      <c r="E158" s="381">
        <v>216</v>
      </c>
      <c r="F158" s="283">
        <v>261</v>
      </c>
      <c r="G158" s="350">
        <v>327</v>
      </c>
      <c r="H158" s="350">
        <v>350</v>
      </c>
      <c r="I158" s="380">
        <f t="shared" si="16"/>
        <v>762</v>
      </c>
      <c r="J158" s="380">
        <v>414.7</v>
      </c>
      <c r="K158" s="350">
        <v>0</v>
      </c>
      <c r="L158" s="350">
        <v>0</v>
      </c>
      <c r="M158" s="350">
        <v>0</v>
      </c>
      <c r="N158" s="445">
        <f>M158*1.1</f>
        <v>0</v>
      </c>
      <c r="O158" s="800">
        <f>N158</f>
        <v>0</v>
      </c>
      <c r="P158" s="358">
        <f t="shared" si="15"/>
        <v>1298</v>
      </c>
      <c r="Q158" s="27">
        <v>0</v>
      </c>
      <c r="R158" s="25">
        <v>0</v>
      </c>
      <c r="S158" s="25">
        <v>0</v>
      </c>
      <c r="T158" s="359"/>
    </row>
    <row r="159" spans="1:20" ht="12.75">
      <c r="A159" s="25">
        <v>763</v>
      </c>
      <c r="B159" s="26" t="s">
        <v>178</v>
      </c>
      <c r="C159" s="25">
        <v>971</v>
      </c>
      <c r="D159" s="155">
        <v>170</v>
      </c>
      <c r="E159" s="381">
        <v>216</v>
      </c>
      <c r="F159" s="283">
        <v>261</v>
      </c>
      <c r="G159" s="350">
        <v>327</v>
      </c>
      <c r="H159" s="350">
        <v>350</v>
      </c>
      <c r="I159" s="380">
        <f t="shared" si="16"/>
        <v>763</v>
      </c>
      <c r="J159" s="380">
        <v>414.7</v>
      </c>
      <c r="K159" s="350">
        <v>0</v>
      </c>
      <c r="L159" s="350">
        <v>0</v>
      </c>
      <c r="M159" s="350">
        <v>0</v>
      </c>
      <c r="N159" s="445">
        <f>M159*1.1</f>
        <v>0</v>
      </c>
      <c r="O159" s="800">
        <f>N159</f>
        <v>0</v>
      </c>
      <c r="P159" s="358">
        <f t="shared" si="15"/>
        <v>1298</v>
      </c>
      <c r="Q159" s="27">
        <v>0</v>
      </c>
      <c r="R159" s="25">
        <v>0</v>
      </c>
      <c r="S159" s="25">
        <v>0</v>
      </c>
      <c r="T159" s="359"/>
    </row>
    <row r="160" spans="1:20" ht="12.75">
      <c r="A160" s="25">
        <v>764</v>
      </c>
      <c r="B160" s="26" t="s">
        <v>179</v>
      </c>
      <c r="C160" s="25">
        <v>1500</v>
      </c>
      <c r="D160" s="155">
        <v>101</v>
      </c>
      <c r="E160" s="155">
        <v>101</v>
      </c>
      <c r="F160" s="283">
        <f>IF(C160&lt;972,E160+44,E160)</f>
        <v>101</v>
      </c>
      <c r="G160" s="283">
        <v>101</v>
      </c>
      <c r="H160" s="283">
        <v>101</v>
      </c>
      <c r="I160" s="380">
        <f t="shared" si="16"/>
        <v>764</v>
      </c>
      <c r="J160" s="380">
        <v>101</v>
      </c>
      <c r="K160" s="350">
        <v>0</v>
      </c>
      <c r="L160" s="350">
        <v>0</v>
      </c>
      <c r="M160" s="350">
        <v>0</v>
      </c>
      <c r="N160" s="445">
        <f>M160*1.1</f>
        <v>0</v>
      </c>
      <c r="O160" s="800">
        <f>N160</f>
        <v>0</v>
      </c>
      <c r="P160" s="358">
        <f t="shared" si="15"/>
        <v>1601</v>
      </c>
      <c r="Q160" s="27">
        <v>150</v>
      </c>
      <c r="R160" s="25">
        <v>0</v>
      </c>
      <c r="S160" s="25">
        <v>0</v>
      </c>
      <c r="T160" s="359"/>
    </row>
    <row r="161" spans="1:20" ht="12.75">
      <c r="A161" s="25">
        <v>765</v>
      </c>
      <c r="B161" s="26" t="s">
        <v>180</v>
      </c>
      <c r="C161" s="25">
        <v>1500</v>
      </c>
      <c r="D161" s="155">
        <v>101</v>
      </c>
      <c r="E161" s="155">
        <v>101</v>
      </c>
      <c r="F161" s="283">
        <f>IF(C161&lt;972,E161+44,E161)</f>
        <v>101</v>
      </c>
      <c r="G161" s="283">
        <v>101</v>
      </c>
      <c r="H161" s="283">
        <v>101</v>
      </c>
      <c r="I161" s="380">
        <f t="shared" si="16"/>
        <v>765</v>
      </c>
      <c r="J161" s="380">
        <v>101</v>
      </c>
      <c r="K161" s="350">
        <v>0</v>
      </c>
      <c r="L161" s="350">
        <v>0</v>
      </c>
      <c r="M161" s="350">
        <v>0</v>
      </c>
      <c r="N161" s="445">
        <f>M161*1.1</f>
        <v>0</v>
      </c>
      <c r="O161" s="800">
        <f>N161</f>
        <v>0</v>
      </c>
      <c r="P161" s="358">
        <f t="shared" si="15"/>
        <v>1601</v>
      </c>
      <c r="Q161" s="27">
        <v>150</v>
      </c>
      <c r="R161" s="25">
        <v>0</v>
      </c>
      <c r="S161" s="25">
        <v>0</v>
      </c>
      <c r="T161" s="359"/>
    </row>
    <row r="162" spans="1:20" ht="12.75">
      <c r="A162" s="25">
        <v>766</v>
      </c>
      <c r="B162" s="26" t="s">
        <v>181</v>
      </c>
      <c r="C162" s="25">
        <v>1942</v>
      </c>
      <c r="D162" s="155">
        <v>43</v>
      </c>
      <c r="E162" s="155">
        <v>43</v>
      </c>
      <c r="F162" s="283">
        <f>IF(C162&lt;972,E162+44,E162)</f>
        <v>43</v>
      </c>
      <c r="G162" s="283">
        <v>43</v>
      </c>
      <c r="H162" s="283">
        <v>43</v>
      </c>
      <c r="I162" s="380">
        <f t="shared" si="16"/>
        <v>766</v>
      </c>
      <c r="J162" s="380">
        <v>43</v>
      </c>
      <c r="K162" s="350">
        <v>0</v>
      </c>
      <c r="L162" s="350">
        <v>233</v>
      </c>
      <c r="M162" s="350">
        <v>466</v>
      </c>
      <c r="N162" s="445">
        <f>M162*1.33333</f>
        <v>621.33178</v>
      </c>
      <c r="O162" s="799">
        <f>N162*1.25</f>
        <v>776.664725</v>
      </c>
      <c r="P162" s="358">
        <f t="shared" si="15"/>
        <v>2451</v>
      </c>
      <c r="Q162" s="27">
        <v>150</v>
      </c>
      <c r="R162" s="25">
        <v>0</v>
      </c>
      <c r="S162" s="25">
        <v>0</v>
      </c>
      <c r="T162" s="359"/>
    </row>
    <row r="163" spans="1:20" ht="12.75">
      <c r="A163" s="25">
        <v>767</v>
      </c>
      <c r="B163" s="26" t="s">
        <v>182</v>
      </c>
      <c r="C163" s="25">
        <v>1700</v>
      </c>
      <c r="D163" s="155">
        <v>75</v>
      </c>
      <c r="E163" s="155">
        <v>75</v>
      </c>
      <c r="F163" s="283">
        <f>IF(C163&lt;972,E163+44,E163)</f>
        <v>75</v>
      </c>
      <c r="G163" s="283">
        <v>75</v>
      </c>
      <c r="H163" s="283">
        <v>75</v>
      </c>
      <c r="I163" s="380">
        <f t="shared" si="16"/>
        <v>767</v>
      </c>
      <c r="J163" s="380">
        <v>75</v>
      </c>
      <c r="K163" s="350">
        <v>0</v>
      </c>
      <c r="L163" s="374">
        <v>116</v>
      </c>
      <c r="M163" s="374">
        <v>232</v>
      </c>
      <c r="N163" s="445">
        <f>M163*1.33333</f>
        <v>309.33256</v>
      </c>
      <c r="O163" s="799">
        <f>N163*1.25</f>
        <v>386.6657</v>
      </c>
      <c r="P163" s="358">
        <f t="shared" si="15"/>
        <v>2007</v>
      </c>
      <c r="Q163" s="27">
        <v>150</v>
      </c>
      <c r="R163" s="25">
        <v>0</v>
      </c>
      <c r="S163" s="25">
        <v>0</v>
      </c>
      <c r="T163" s="359"/>
    </row>
    <row r="164" spans="1:20" ht="12.75">
      <c r="A164" s="25">
        <v>768</v>
      </c>
      <c r="B164" s="26" t="s">
        <v>183</v>
      </c>
      <c r="C164" s="25">
        <v>971</v>
      </c>
      <c r="D164" s="155">
        <v>170</v>
      </c>
      <c r="E164" s="381">
        <v>216</v>
      </c>
      <c r="F164" s="283">
        <v>261</v>
      </c>
      <c r="G164" s="350">
        <v>327</v>
      </c>
      <c r="H164" s="350">
        <v>350</v>
      </c>
      <c r="I164" s="380">
        <f t="shared" si="16"/>
        <v>768</v>
      </c>
      <c r="J164" s="380">
        <v>414.7</v>
      </c>
      <c r="K164" s="350">
        <v>0</v>
      </c>
      <c r="L164" s="350">
        <v>0</v>
      </c>
      <c r="M164" s="350">
        <v>0</v>
      </c>
      <c r="N164" s="445">
        <f>M164*1.1</f>
        <v>0</v>
      </c>
      <c r="O164" s="800">
        <f>N164</f>
        <v>0</v>
      </c>
      <c r="P164" s="358">
        <f t="shared" si="15"/>
        <v>1298</v>
      </c>
      <c r="Q164" s="27">
        <v>150</v>
      </c>
      <c r="R164" s="25">
        <v>0</v>
      </c>
      <c r="S164" s="25">
        <v>0</v>
      </c>
      <c r="T164" s="359"/>
    </row>
    <row r="165" spans="1:20" ht="12.75">
      <c r="A165" s="25">
        <v>769</v>
      </c>
      <c r="B165" s="26" t="s">
        <v>184</v>
      </c>
      <c r="C165" s="25">
        <v>2913</v>
      </c>
      <c r="D165" s="155">
        <v>0</v>
      </c>
      <c r="E165" s="155">
        <v>0</v>
      </c>
      <c r="F165" s="283">
        <f>IF(C165&lt;972,E165+44,E165)</f>
        <v>0</v>
      </c>
      <c r="G165" s="283">
        <v>0</v>
      </c>
      <c r="H165" s="283">
        <v>0</v>
      </c>
      <c r="I165" s="380">
        <f t="shared" si="16"/>
        <v>769</v>
      </c>
      <c r="J165" s="380">
        <v>0</v>
      </c>
      <c r="K165" s="350">
        <v>0</v>
      </c>
      <c r="L165" s="350">
        <f>D165*0.09</f>
        <v>0</v>
      </c>
      <c r="M165" s="350">
        <v>0</v>
      </c>
      <c r="N165" s="445">
        <f>M165*1.1</f>
        <v>0</v>
      </c>
      <c r="O165" s="800">
        <f>N165</f>
        <v>0</v>
      </c>
      <c r="P165" s="358">
        <f t="shared" si="15"/>
        <v>2913</v>
      </c>
      <c r="Q165" s="27">
        <v>0</v>
      </c>
      <c r="R165" s="25">
        <v>0</v>
      </c>
      <c r="S165" s="25">
        <v>0</v>
      </c>
      <c r="T165" s="359"/>
    </row>
    <row r="166" spans="1:20" ht="12.75">
      <c r="A166" s="25">
        <v>770</v>
      </c>
      <c r="B166" s="26" t="s">
        <v>185</v>
      </c>
      <c r="C166" s="25">
        <v>2913</v>
      </c>
      <c r="D166" s="155">
        <v>0</v>
      </c>
      <c r="E166" s="155">
        <v>0</v>
      </c>
      <c r="F166" s="283">
        <f>IF(C166&lt;972,E166+44,E166)</f>
        <v>0</v>
      </c>
      <c r="G166" s="283">
        <v>0</v>
      </c>
      <c r="H166" s="283">
        <v>0</v>
      </c>
      <c r="I166" s="380">
        <f t="shared" si="16"/>
        <v>770</v>
      </c>
      <c r="J166" s="380">
        <v>0</v>
      </c>
      <c r="K166" s="350">
        <v>0</v>
      </c>
      <c r="L166" s="373">
        <v>233</v>
      </c>
      <c r="M166" s="373">
        <v>776</v>
      </c>
      <c r="N166" s="445">
        <v>776</v>
      </c>
      <c r="O166" s="799">
        <f>N166*1.25</f>
        <v>970</v>
      </c>
      <c r="P166" s="358">
        <f t="shared" si="15"/>
        <v>3689</v>
      </c>
      <c r="Q166" s="27">
        <v>0</v>
      </c>
      <c r="R166" s="25">
        <v>0</v>
      </c>
      <c r="S166" s="25">
        <v>0</v>
      </c>
      <c r="T166" s="359"/>
    </row>
    <row r="167" spans="1:20" ht="12.75">
      <c r="A167" s="25">
        <v>771</v>
      </c>
      <c r="B167" s="26" t="s">
        <v>186</v>
      </c>
      <c r="C167" s="25">
        <v>971</v>
      </c>
      <c r="D167" s="155">
        <v>170</v>
      </c>
      <c r="E167" s="381">
        <v>216</v>
      </c>
      <c r="F167" s="283">
        <v>261</v>
      </c>
      <c r="G167" s="350">
        <v>327</v>
      </c>
      <c r="H167" s="350">
        <v>350</v>
      </c>
      <c r="I167" s="380">
        <f t="shared" si="16"/>
        <v>771</v>
      </c>
      <c r="J167" s="380">
        <v>414.7</v>
      </c>
      <c r="K167" s="350">
        <v>0</v>
      </c>
      <c r="L167" s="350">
        <v>0</v>
      </c>
      <c r="M167" s="350">
        <v>0</v>
      </c>
      <c r="N167" s="445">
        <f>M167*1.1</f>
        <v>0</v>
      </c>
      <c r="O167" s="800">
        <f>N167</f>
        <v>0</v>
      </c>
      <c r="P167" s="358">
        <f t="shared" si="15"/>
        <v>1298</v>
      </c>
      <c r="Q167" s="27">
        <v>0</v>
      </c>
      <c r="R167" s="25">
        <v>0</v>
      </c>
      <c r="S167" s="25">
        <v>620</v>
      </c>
      <c r="T167" s="359"/>
    </row>
    <row r="168" spans="1:20" ht="12.75">
      <c r="A168" s="25">
        <v>772</v>
      </c>
      <c r="B168" s="26" t="s">
        <v>187</v>
      </c>
      <c r="C168" s="25">
        <v>971</v>
      </c>
      <c r="D168" s="155">
        <v>170</v>
      </c>
      <c r="E168" s="381">
        <v>216</v>
      </c>
      <c r="F168" s="283">
        <v>261</v>
      </c>
      <c r="G168" s="350">
        <v>327</v>
      </c>
      <c r="H168" s="350">
        <v>350</v>
      </c>
      <c r="I168" s="380">
        <f t="shared" si="16"/>
        <v>772</v>
      </c>
      <c r="J168" s="380">
        <v>414.7</v>
      </c>
      <c r="K168" s="350">
        <v>0</v>
      </c>
      <c r="L168" s="350">
        <v>0</v>
      </c>
      <c r="M168" s="350">
        <v>0</v>
      </c>
      <c r="N168" s="445">
        <f>M168*1.1</f>
        <v>0</v>
      </c>
      <c r="O168" s="800">
        <f>N168</f>
        <v>0</v>
      </c>
      <c r="P168" s="358">
        <f t="shared" si="15"/>
        <v>1298</v>
      </c>
      <c r="Q168" s="27">
        <v>0</v>
      </c>
      <c r="R168" s="25">
        <v>0</v>
      </c>
      <c r="S168" s="25">
        <v>620</v>
      </c>
      <c r="T168" s="359"/>
    </row>
    <row r="169" spans="1:20" ht="12.75">
      <c r="A169" s="25">
        <v>773</v>
      </c>
      <c r="B169" s="26" t="s">
        <v>427</v>
      </c>
      <c r="C169" s="25">
        <v>1942</v>
      </c>
      <c r="D169" s="155">
        <v>43</v>
      </c>
      <c r="E169" s="155">
        <v>43</v>
      </c>
      <c r="F169" s="283">
        <f>IF(C169&lt;972,E169+44,E169)</f>
        <v>43</v>
      </c>
      <c r="G169" s="283">
        <v>43</v>
      </c>
      <c r="H169" s="283">
        <v>43</v>
      </c>
      <c r="I169" s="380">
        <f t="shared" si="16"/>
        <v>773</v>
      </c>
      <c r="J169" s="380">
        <v>43</v>
      </c>
      <c r="K169" s="350">
        <v>0</v>
      </c>
      <c r="L169" s="350">
        <v>233</v>
      </c>
      <c r="M169" s="350">
        <v>466</v>
      </c>
      <c r="N169" s="445">
        <f>M169*1.33333</f>
        <v>621.33178</v>
      </c>
      <c r="O169" s="799">
        <f>N169*1.25</f>
        <v>776.664725</v>
      </c>
      <c r="P169" s="358">
        <f t="shared" si="15"/>
        <v>2451</v>
      </c>
      <c r="Q169" s="27">
        <v>0</v>
      </c>
      <c r="R169" s="25">
        <v>0</v>
      </c>
      <c r="S169" s="25">
        <v>669</v>
      </c>
      <c r="T169" s="359"/>
    </row>
    <row r="170" spans="1:20" ht="12.75">
      <c r="A170" s="25">
        <v>774</v>
      </c>
      <c r="B170" s="26" t="s">
        <v>428</v>
      </c>
      <c r="C170" s="25">
        <v>1700</v>
      </c>
      <c r="D170" s="155">
        <v>75</v>
      </c>
      <c r="E170" s="155">
        <v>75</v>
      </c>
      <c r="F170" s="283">
        <f>IF(C170&lt;972,E170+44,E170)</f>
        <v>75</v>
      </c>
      <c r="G170" s="283">
        <v>75</v>
      </c>
      <c r="H170" s="283">
        <v>75</v>
      </c>
      <c r="I170" s="380">
        <f t="shared" si="16"/>
        <v>774</v>
      </c>
      <c r="J170" s="380">
        <v>75</v>
      </c>
      <c r="K170" s="350">
        <v>0</v>
      </c>
      <c r="L170" s="350">
        <v>155</v>
      </c>
      <c r="M170" s="350">
        <v>310</v>
      </c>
      <c r="N170" s="445">
        <f>M170*1.33333</f>
        <v>413.3323</v>
      </c>
      <c r="O170" s="799">
        <f>N170*1.25</f>
        <v>516.6653749999999</v>
      </c>
      <c r="P170" s="358">
        <f t="shared" si="15"/>
        <v>2085</v>
      </c>
      <c r="Q170" s="27">
        <v>0</v>
      </c>
      <c r="R170" s="25">
        <v>0</v>
      </c>
      <c r="S170" s="25">
        <v>657</v>
      </c>
      <c r="T170" s="359"/>
    </row>
    <row r="171" spans="1:20" ht="12.75">
      <c r="A171" s="25">
        <v>775</v>
      </c>
      <c r="B171" s="26" t="s">
        <v>287</v>
      </c>
      <c r="C171" s="25">
        <v>1400</v>
      </c>
      <c r="D171" s="155">
        <v>114</v>
      </c>
      <c r="E171" s="155">
        <v>114</v>
      </c>
      <c r="F171" s="283">
        <f>IF(C171&lt;972,E171+44,E171)</f>
        <v>114</v>
      </c>
      <c r="G171" s="283">
        <v>114</v>
      </c>
      <c r="H171" s="283">
        <v>114</v>
      </c>
      <c r="I171" s="380">
        <f t="shared" si="16"/>
        <v>775</v>
      </c>
      <c r="J171" s="380">
        <v>114</v>
      </c>
      <c r="K171" s="350">
        <v>0</v>
      </c>
      <c r="L171" s="374">
        <v>116</v>
      </c>
      <c r="M171" s="374">
        <v>233</v>
      </c>
      <c r="N171" s="445">
        <f>M171*1.33333</f>
        <v>310.66589</v>
      </c>
      <c r="O171" s="799">
        <f>N171*1.25</f>
        <v>388.3323625</v>
      </c>
      <c r="P171" s="358">
        <f t="shared" si="15"/>
        <v>1747</v>
      </c>
      <c r="Q171" s="27">
        <v>150</v>
      </c>
      <c r="R171" s="25">
        <v>0</v>
      </c>
      <c r="S171" s="25">
        <v>0</v>
      </c>
      <c r="T171" s="359"/>
    </row>
    <row r="172" spans="1:20" ht="12.75">
      <c r="A172" s="25">
        <v>776</v>
      </c>
      <c r="B172" s="26" t="s">
        <v>188</v>
      </c>
      <c r="C172" s="25">
        <v>971</v>
      </c>
      <c r="D172" s="155">
        <v>170</v>
      </c>
      <c r="E172" s="381">
        <v>216</v>
      </c>
      <c r="F172" s="283">
        <v>261</v>
      </c>
      <c r="G172" s="350">
        <v>327</v>
      </c>
      <c r="H172" s="350">
        <v>350</v>
      </c>
      <c r="I172" s="380">
        <f t="shared" si="16"/>
        <v>776</v>
      </c>
      <c r="J172" s="380">
        <v>414.7</v>
      </c>
      <c r="K172" s="350">
        <v>0</v>
      </c>
      <c r="L172" s="350">
        <v>0</v>
      </c>
      <c r="M172" s="350">
        <v>0</v>
      </c>
      <c r="N172" s="445">
        <f>M172*1.1</f>
        <v>0</v>
      </c>
      <c r="O172" s="800">
        <f>N172</f>
        <v>0</v>
      </c>
      <c r="P172" s="358">
        <f t="shared" si="15"/>
        <v>1298</v>
      </c>
      <c r="Q172" s="27">
        <v>0</v>
      </c>
      <c r="R172" s="25">
        <v>0</v>
      </c>
      <c r="S172" s="25">
        <v>0</v>
      </c>
      <c r="T172" s="359"/>
    </row>
    <row r="173" spans="1:20" ht="12.75">
      <c r="A173" s="25">
        <v>777</v>
      </c>
      <c r="B173" s="26" t="s">
        <v>189</v>
      </c>
      <c r="C173" s="25">
        <v>971</v>
      </c>
      <c r="D173" s="155">
        <v>170</v>
      </c>
      <c r="E173" s="381">
        <v>216</v>
      </c>
      <c r="F173" s="283">
        <v>261</v>
      </c>
      <c r="G173" s="350">
        <v>327</v>
      </c>
      <c r="H173" s="350">
        <v>350</v>
      </c>
      <c r="I173" s="380">
        <f t="shared" si="16"/>
        <v>777</v>
      </c>
      <c r="J173" s="380">
        <v>414.7</v>
      </c>
      <c r="K173" s="350">
        <v>0</v>
      </c>
      <c r="L173" s="350">
        <v>0</v>
      </c>
      <c r="M173" s="350">
        <v>0</v>
      </c>
      <c r="N173" s="445">
        <f>M173*1.1</f>
        <v>0</v>
      </c>
      <c r="O173" s="800">
        <f>N173</f>
        <v>0</v>
      </c>
      <c r="P173" s="358">
        <f t="shared" si="15"/>
        <v>1298</v>
      </c>
      <c r="Q173" s="27">
        <v>0</v>
      </c>
      <c r="R173" s="25">
        <v>0</v>
      </c>
      <c r="S173" s="25">
        <v>155</v>
      </c>
      <c r="T173" s="359"/>
    </row>
    <row r="174" spans="1:20" ht="12.75">
      <c r="A174" s="25">
        <v>778</v>
      </c>
      <c r="B174" s="26" t="s">
        <v>190</v>
      </c>
      <c r="C174" s="25">
        <v>1692</v>
      </c>
      <c r="D174" s="155">
        <v>76</v>
      </c>
      <c r="E174" s="155">
        <v>76</v>
      </c>
      <c r="F174" s="283">
        <f>IF(C174&lt;972,E174+44,E174)</f>
        <v>76</v>
      </c>
      <c r="G174" s="283">
        <v>76</v>
      </c>
      <c r="H174" s="283">
        <v>76</v>
      </c>
      <c r="I174" s="380">
        <f t="shared" si="16"/>
        <v>778</v>
      </c>
      <c r="J174" s="380">
        <v>76</v>
      </c>
      <c r="K174" s="350">
        <v>0</v>
      </c>
      <c r="L174" s="374">
        <v>136</v>
      </c>
      <c r="M174" s="374">
        <v>272</v>
      </c>
      <c r="N174" s="445">
        <f>M174*1.33333</f>
        <v>362.66576</v>
      </c>
      <c r="O174" s="799">
        <f>N174*1.25</f>
        <v>453.33219999999994</v>
      </c>
      <c r="P174" s="358">
        <f t="shared" si="15"/>
        <v>2040</v>
      </c>
      <c r="Q174" s="27">
        <v>17</v>
      </c>
      <c r="R174" s="25">
        <v>0</v>
      </c>
      <c r="S174" s="25">
        <v>0</v>
      </c>
      <c r="T174" s="359"/>
    </row>
    <row r="175" spans="1:20" ht="12.75">
      <c r="A175" s="25">
        <v>779</v>
      </c>
      <c r="B175" s="28" t="s">
        <v>191</v>
      </c>
      <c r="C175" s="25">
        <v>853</v>
      </c>
      <c r="D175" s="155">
        <v>170</v>
      </c>
      <c r="E175" s="381">
        <v>216</v>
      </c>
      <c r="F175" s="283">
        <v>261</v>
      </c>
      <c r="G175" s="350">
        <v>327</v>
      </c>
      <c r="H175" s="350">
        <v>350</v>
      </c>
      <c r="I175" s="380">
        <f t="shared" si="16"/>
        <v>779</v>
      </c>
      <c r="J175" s="380">
        <v>414.7</v>
      </c>
      <c r="K175" s="350">
        <v>0</v>
      </c>
      <c r="L175" s="350">
        <v>0</v>
      </c>
      <c r="M175" s="350">
        <v>0</v>
      </c>
      <c r="N175" s="445">
        <f>M175*1.1</f>
        <v>0</v>
      </c>
      <c r="O175" s="800">
        <f>N175</f>
        <v>0</v>
      </c>
      <c r="P175" s="358">
        <f t="shared" si="15"/>
        <v>1180</v>
      </c>
      <c r="Q175" s="27">
        <v>0</v>
      </c>
      <c r="R175" s="25">
        <v>0</v>
      </c>
      <c r="S175" s="25">
        <v>0</v>
      </c>
      <c r="T175" s="359"/>
    </row>
    <row r="176" spans="1:20" ht="12.75">
      <c r="A176" s="25">
        <v>780</v>
      </c>
      <c r="B176" s="26" t="s">
        <v>192</v>
      </c>
      <c r="C176" s="25">
        <v>3146</v>
      </c>
      <c r="D176" s="155">
        <v>0</v>
      </c>
      <c r="E176" s="155">
        <v>0</v>
      </c>
      <c r="F176" s="283">
        <f>IF(C176&lt;972,E176+44,E176)</f>
        <v>0</v>
      </c>
      <c r="G176" s="283">
        <v>0</v>
      </c>
      <c r="H176" s="283">
        <v>0</v>
      </c>
      <c r="I176" s="380">
        <f t="shared" si="16"/>
        <v>780</v>
      </c>
      <c r="J176" s="380">
        <v>0</v>
      </c>
      <c r="K176" s="350">
        <v>0</v>
      </c>
      <c r="L176" s="350">
        <f>D176*0.09</f>
        <v>0</v>
      </c>
      <c r="M176" s="350">
        <v>0</v>
      </c>
      <c r="N176" s="445">
        <f>M176*1.1</f>
        <v>0</v>
      </c>
      <c r="O176" s="800">
        <f>N176</f>
        <v>0</v>
      </c>
      <c r="P176" s="358">
        <f t="shared" si="15"/>
        <v>3146</v>
      </c>
      <c r="Q176" s="27">
        <v>0</v>
      </c>
      <c r="R176" s="25">
        <v>0</v>
      </c>
      <c r="S176" s="25">
        <v>0</v>
      </c>
      <c r="T176" s="359"/>
    </row>
    <row r="177" spans="1:20" ht="12.75">
      <c r="A177" s="25">
        <v>781</v>
      </c>
      <c r="B177" s="26" t="s">
        <v>193</v>
      </c>
      <c r="C177" s="25">
        <v>2288</v>
      </c>
      <c r="D177" s="155">
        <v>0</v>
      </c>
      <c r="E177" s="155">
        <v>0</v>
      </c>
      <c r="F177" s="283">
        <f>IF(C177&lt;972,E177+44,E177)</f>
        <v>0</v>
      </c>
      <c r="G177" s="283">
        <v>0</v>
      </c>
      <c r="H177" s="283">
        <v>0</v>
      </c>
      <c r="I177" s="380">
        <f t="shared" si="16"/>
        <v>781</v>
      </c>
      <c r="J177" s="380">
        <v>0</v>
      </c>
      <c r="K177" s="350">
        <v>0</v>
      </c>
      <c r="L177" s="350">
        <f>D177*0.09</f>
        <v>0</v>
      </c>
      <c r="M177" s="350">
        <v>0</v>
      </c>
      <c r="N177" s="445">
        <f>M177*1.1</f>
        <v>0</v>
      </c>
      <c r="O177" s="800">
        <f>N177</f>
        <v>0</v>
      </c>
      <c r="P177" s="358">
        <f t="shared" si="15"/>
        <v>2288</v>
      </c>
      <c r="Q177" s="27">
        <v>0</v>
      </c>
      <c r="R177" s="25">
        <v>0</v>
      </c>
      <c r="S177" s="25">
        <v>0</v>
      </c>
      <c r="T177" s="359"/>
    </row>
    <row r="178" spans="1:20" ht="12.75">
      <c r="A178" s="25">
        <v>783</v>
      </c>
      <c r="B178" s="26" t="s">
        <v>485</v>
      </c>
      <c r="C178" s="25">
        <v>690</v>
      </c>
      <c r="D178" s="550">
        <v>170</v>
      </c>
      <c r="E178" s="381">
        <v>216</v>
      </c>
      <c r="F178" s="283">
        <v>261</v>
      </c>
      <c r="G178" s="350">
        <v>327</v>
      </c>
      <c r="H178" s="350">
        <v>350</v>
      </c>
      <c r="I178" s="380">
        <f t="shared" si="16"/>
        <v>783</v>
      </c>
      <c r="J178" s="350">
        <v>0</v>
      </c>
      <c r="K178" s="350">
        <v>0</v>
      </c>
      <c r="L178" s="350">
        <v>414.7</v>
      </c>
      <c r="M178" s="350">
        <v>0</v>
      </c>
      <c r="N178" s="445">
        <f>M178*1.1</f>
        <v>0</v>
      </c>
      <c r="O178" s="800">
        <f>N178</f>
        <v>0</v>
      </c>
      <c r="P178" s="358">
        <f t="shared" si="15"/>
        <v>1017</v>
      </c>
      <c r="Q178" s="27">
        <v>0</v>
      </c>
      <c r="R178" s="25">
        <v>0</v>
      </c>
      <c r="S178" s="25">
        <v>0</v>
      </c>
      <c r="T178" s="359"/>
    </row>
    <row r="179" spans="1:20" ht="12.75">
      <c r="A179" s="25">
        <v>784</v>
      </c>
      <c r="B179" s="388" t="s">
        <v>390</v>
      </c>
      <c r="C179" s="389">
        <v>1600</v>
      </c>
      <c r="D179" s="386">
        <v>88</v>
      </c>
      <c r="E179" s="386">
        <v>88</v>
      </c>
      <c r="F179" s="374">
        <v>88</v>
      </c>
      <c r="G179" s="374">
        <v>88</v>
      </c>
      <c r="H179" s="374">
        <v>88</v>
      </c>
      <c r="I179" s="387">
        <f t="shared" si="16"/>
        <v>784</v>
      </c>
      <c r="J179" s="387">
        <v>88</v>
      </c>
      <c r="K179" s="374">
        <v>0</v>
      </c>
      <c r="L179" s="374">
        <v>116</v>
      </c>
      <c r="M179" s="374">
        <v>233</v>
      </c>
      <c r="N179" s="445">
        <f>M179*1.33333</f>
        <v>310.66589</v>
      </c>
      <c r="O179" s="799">
        <f aca="true" t="shared" si="17" ref="O179:O231">N179*1.25</f>
        <v>388.3323625</v>
      </c>
      <c r="P179" s="358">
        <f t="shared" si="15"/>
        <v>1921</v>
      </c>
      <c r="Q179" s="27">
        <v>0</v>
      </c>
      <c r="R179" s="25">
        <v>0</v>
      </c>
      <c r="S179" s="25">
        <v>0</v>
      </c>
      <c r="T179" s="359"/>
    </row>
    <row r="180" spans="1:20" ht="12.75">
      <c r="A180" s="389">
        <v>785</v>
      </c>
      <c r="B180" s="388" t="s">
        <v>391</v>
      </c>
      <c r="C180" s="389">
        <v>1782</v>
      </c>
      <c r="D180" s="386">
        <v>64</v>
      </c>
      <c r="E180" s="386">
        <v>64</v>
      </c>
      <c r="F180" s="374">
        <v>64</v>
      </c>
      <c r="G180" s="374">
        <v>64</v>
      </c>
      <c r="H180" s="374">
        <v>64</v>
      </c>
      <c r="I180" s="387">
        <f t="shared" si="16"/>
        <v>785</v>
      </c>
      <c r="J180" s="387">
        <v>64</v>
      </c>
      <c r="K180" s="374"/>
      <c r="L180" s="374">
        <v>194</v>
      </c>
      <c r="M180" s="374">
        <v>388</v>
      </c>
      <c r="N180" s="445">
        <f>M180*1.33333</f>
        <v>517.33204</v>
      </c>
      <c r="O180" s="799">
        <f t="shared" si="17"/>
        <v>646.6650500000001</v>
      </c>
      <c r="P180" s="358">
        <f t="shared" si="15"/>
        <v>2234</v>
      </c>
      <c r="Q180" s="27">
        <v>17</v>
      </c>
      <c r="R180" s="25">
        <v>0</v>
      </c>
      <c r="S180" s="25">
        <v>0</v>
      </c>
      <c r="T180" s="359"/>
    </row>
    <row r="181" spans="1:20" ht="12.75">
      <c r="A181" s="389">
        <v>787</v>
      </c>
      <c r="B181" s="388" t="s">
        <v>392</v>
      </c>
      <c r="C181" s="389">
        <v>1700</v>
      </c>
      <c r="D181" s="386">
        <v>75</v>
      </c>
      <c r="E181" s="386">
        <v>75</v>
      </c>
      <c r="F181" s="374">
        <v>75</v>
      </c>
      <c r="G181" s="374">
        <v>75</v>
      </c>
      <c r="H181" s="374">
        <v>75</v>
      </c>
      <c r="I181" s="387">
        <f t="shared" si="16"/>
        <v>787</v>
      </c>
      <c r="J181" s="387">
        <v>75</v>
      </c>
      <c r="K181" s="374"/>
      <c r="L181" s="374">
        <v>116</v>
      </c>
      <c r="M181" s="374">
        <v>233</v>
      </c>
      <c r="N181" s="445">
        <f>M181*1.33333</f>
        <v>310.66589</v>
      </c>
      <c r="O181" s="799">
        <f t="shared" si="17"/>
        <v>388.3323625</v>
      </c>
      <c r="P181" s="358">
        <f t="shared" si="15"/>
        <v>2008</v>
      </c>
      <c r="Q181" s="27">
        <v>17</v>
      </c>
      <c r="R181" s="25">
        <v>0</v>
      </c>
      <c r="S181" s="25">
        <v>0</v>
      </c>
      <c r="T181" s="359"/>
    </row>
    <row r="182" spans="1:20" ht="12.75">
      <c r="A182" s="25">
        <v>788</v>
      </c>
      <c r="B182" s="26" t="s">
        <v>194</v>
      </c>
      <c r="C182" s="25">
        <v>2000</v>
      </c>
      <c r="D182" s="155">
        <v>36</v>
      </c>
      <c r="E182" s="155">
        <v>36</v>
      </c>
      <c r="F182" s="283">
        <f>IF(C182&lt;972,E182+44,E182)</f>
        <v>36</v>
      </c>
      <c r="G182" s="283">
        <v>36</v>
      </c>
      <c r="H182" s="283">
        <v>36</v>
      </c>
      <c r="I182" s="380">
        <f t="shared" si="16"/>
        <v>788</v>
      </c>
      <c r="J182" s="380">
        <v>36</v>
      </c>
      <c r="K182" s="350">
        <v>0</v>
      </c>
      <c r="L182" s="350">
        <v>0</v>
      </c>
      <c r="M182" s="350">
        <v>0</v>
      </c>
      <c r="N182" s="445">
        <f>M182*1.1</f>
        <v>0</v>
      </c>
      <c r="O182" s="800">
        <f>N182</f>
        <v>0</v>
      </c>
      <c r="P182" s="358">
        <f t="shared" si="15"/>
        <v>2036</v>
      </c>
      <c r="Q182" s="27">
        <v>0</v>
      </c>
      <c r="R182" s="25">
        <v>0</v>
      </c>
      <c r="S182" s="25">
        <v>0</v>
      </c>
      <c r="T182" s="359"/>
    </row>
    <row r="183" spans="1:20" ht="12.75">
      <c r="A183" s="25">
        <v>789</v>
      </c>
      <c r="B183" s="26" t="s">
        <v>195</v>
      </c>
      <c r="C183" s="25">
        <v>971</v>
      </c>
      <c r="D183" s="155">
        <v>170</v>
      </c>
      <c r="E183" s="381">
        <v>216</v>
      </c>
      <c r="F183" s="283">
        <v>261</v>
      </c>
      <c r="G183" s="350">
        <v>327</v>
      </c>
      <c r="H183" s="350">
        <v>350</v>
      </c>
      <c r="I183" s="380">
        <f t="shared" si="16"/>
        <v>789</v>
      </c>
      <c r="J183" s="380">
        <v>414.7</v>
      </c>
      <c r="K183" s="350">
        <v>0</v>
      </c>
      <c r="L183" s="350">
        <v>0</v>
      </c>
      <c r="M183" s="350">
        <v>0</v>
      </c>
      <c r="N183" s="445">
        <f>M183*1.1</f>
        <v>0</v>
      </c>
      <c r="O183" s="800">
        <f>N183</f>
        <v>0</v>
      </c>
      <c r="P183" s="358">
        <f t="shared" si="15"/>
        <v>1298</v>
      </c>
      <c r="Q183" s="27">
        <v>0</v>
      </c>
      <c r="R183" s="25">
        <v>0</v>
      </c>
      <c r="S183" s="25">
        <v>0</v>
      </c>
      <c r="T183" s="359"/>
    </row>
    <row r="184" spans="1:20" ht="12.75">
      <c r="A184" s="25">
        <v>791</v>
      </c>
      <c r="B184" s="26" t="s">
        <v>196</v>
      </c>
      <c r="C184" s="25">
        <v>2913</v>
      </c>
      <c r="D184" s="155">
        <v>0</v>
      </c>
      <c r="E184" s="155">
        <v>0</v>
      </c>
      <c r="F184" s="283">
        <f aca="true" t="shared" si="18" ref="F184:F190">IF(C184&lt;972,E184+44,E184)</f>
        <v>0</v>
      </c>
      <c r="G184" s="283">
        <v>0</v>
      </c>
      <c r="H184" s="283">
        <v>0</v>
      </c>
      <c r="I184" s="380">
        <f t="shared" si="16"/>
        <v>791</v>
      </c>
      <c r="J184" s="380">
        <v>0</v>
      </c>
      <c r="K184" s="350">
        <v>0</v>
      </c>
      <c r="L184" s="373">
        <v>233</v>
      </c>
      <c r="M184" s="373">
        <v>466</v>
      </c>
      <c r="N184" s="445">
        <v>776</v>
      </c>
      <c r="O184" s="799">
        <f>N184</f>
        <v>776</v>
      </c>
      <c r="P184" s="358">
        <f t="shared" si="15"/>
        <v>3379</v>
      </c>
      <c r="Q184" s="27">
        <v>17</v>
      </c>
      <c r="R184" s="25">
        <v>0</v>
      </c>
      <c r="S184" s="25">
        <v>0</v>
      </c>
      <c r="T184" s="359"/>
    </row>
    <row r="185" spans="1:20" ht="12.75">
      <c r="A185" s="25">
        <v>792</v>
      </c>
      <c r="B185" s="26" t="s">
        <v>197</v>
      </c>
      <c r="C185" s="25">
        <v>2913</v>
      </c>
      <c r="D185" s="155">
        <v>0</v>
      </c>
      <c r="E185" s="155">
        <v>0</v>
      </c>
      <c r="F185" s="283">
        <f t="shared" si="18"/>
        <v>0</v>
      </c>
      <c r="G185" s="283">
        <v>0</v>
      </c>
      <c r="H185" s="283">
        <v>0</v>
      </c>
      <c r="I185" s="380">
        <f t="shared" si="16"/>
        <v>792</v>
      </c>
      <c r="J185" s="380">
        <v>0</v>
      </c>
      <c r="K185" s="350">
        <v>0</v>
      </c>
      <c r="L185">
        <v>233</v>
      </c>
      <c r="M185">
        <v>466</v>
      </c>
      <c r="N185" s="445">
        <f>M185*1.33333</f>
        <v>621.33178</v>
      </c>
      <c r="O185" s="799">
        <f t="shared" si="17"/>
        <v>776.664725</v>
      </c>
      <c r="P185" s="358">
        <f t="shared" si="15"/>
        <v>3379</v>
      </c>
      <c r="Q185" s="27">
        <v>0</v>
      </c>
      <c r="R185" s="25">
        <v>0</v>
      </c>
      <c r="S185" s="25">
        <v>0</v>
      </c>
      <c r="T185" s="359"/>
    </row>
    <row r="186" spans="1:20" ht="12.75">
      <c r="A186" s="25">
        <v>793</v>
      </c>
      <c r="B186" s="26" t="s">
        <v>198</v>
      </c>
      <c r="C186" s="25">
        <v>2913</v>
      </c>
      <c r="D186" s="155">
        <v>0</v>
      </c>
      <c r="E186" s="155">
        <v>0</v>
      </c>
      <c r="F186" s="283">
        <f t="shared" si="18"/>
        <v>0</v>
      </c>
      <c r="G186" s="283">
        <v>0</v>
      </c>
      <c r="H186" s="283">
        <v>0</v>
      </c>
      <c r="I186" s="380">
        <f t="shared" si="16"/>
        <v>793</v>
      </c>
      <c r="J186" s="380">
        <v>0</v>
      </c>
      <c r="K186" s="350">
        <v>0</v>
      </c>
      <c r="L186" s="373">
        <v>233</v>
      </c>
      <c r="M186" s="373">
        <v>466</v>
      </c>
      <c r="N186" s="445">
        <v>776</v>
      </c>
      <c r="O186" s="799">
        <f>N186</f>
        <v>776</v>
      </c>
      <c r="P186" s="358">
        <f t="shared" si="15"/>
        <v>3379</v>
      </c>
      <c r="Q186" s="27">
        <v>0</v>
      </c>
      <c r="R186" s="25">
        <v>0</v>
      </c>
      <c r="S186" s="25">
        <v>0</v>
      </c>
      <c r="T186" s="359"/>
    </row>
    <row r="187" spans="1:20" ht="12.75">
      <c r="A187" s="25">
        <v>794</v>
      </c>
      <c r="B187" s="26" t="s">
        <v>199</v>
      </c>
      <c r="C187" s="25">
        <v>1840</v>
      </c>
      <c r="D187" s="155">
        <v>57</v>
      </c>
      <c r="E187" s="155">
        <v>57</v>
      </c>
      <c r="F187" s="283">
        <f t="shared" si="18"/>
        <v>57</v>
      </c>
      <c r="G187" s="283">
        <v>57</v>
      </c>
      <c r="H187" s="283">
        <v>57</v>
      </c>
      <c r="I187" s="380">
        <f t="shared" si="16"/>
        <v>794</v>
      </c>
      <c r="J187" s="380">
        <v>57</v>
      </c>
      <c r="K187" s="350">
        <v>0</v>
      </c>
      <c r="L187" s="350">
        <v>175</v>
      </c>
      <c r="M187" s="350">
        <v>349</v>
      </c>
      <c r="N187" s="445">
        <f>M187*1.33333</f>
        <v>465.33216999999996</v>
      </c>
      <c r="O187" s="799">
        <f t="shared" si="17"/>
        <v>581.6652124999999</v>
      </c>
      <c r="P187" s="358">
        <f t="shared" si="15"/>
        <v>2246</v>
      </c>
      <c r="Q187" s="27">
        <v>0</v>
      </c>
      <c r="R187" s="25">
        <v>0</v>
      </c>
      <c r="S187" s="25">
        <v>0</v>
      </c>
      <c r="T187" s="359"/>
    </row>
    <row r="188" spans="1:20" ht="12.75">
      <c r="A188" s="25">
        <v>795</v>
      </c>
      <c r="B188" s="26" t="s">
        <v>200</v>
      </c>
      <c r="C188" s="389">
        <v>1610</v>
      </c>
      <c r="D188" s="386">
        <v>107</v>
      </c>
      <c r="E188" s="386">
        <v>107</v>
      </c>
      <c r="F188" s="374">
        <f t="shared" si="18"/>
        <v>107</v>
      </c>
      <c r="G188" s="374">
        <v>107</v>
      </c>
      <c r="H188" s="374">
        <v>107</v>
      </c>
      <c r="I188" s="387">
        <f t="shared" si="16"/>
        <v>795</v>
      </c>
      <c r="J188" s="387">
        <v>107</v>
      </c>
      <c r="K188" s="374">
        <v>0</v>
      </c>
      <c r="L188" s="374">
        <v>116</v>
      </c>
      <c r="M188" s="374">
        <v>233</v>
      </c>
      <c r="N188" s="445">
        <f>M188*1.33333</f>
        <v>310.66589</v>
      </c>
      <c r="O188" s="799">
        <f t="shared" si="17"/>
        <v>388.3323625</v>
      </c>
      <c r="P188" s="358">
        <f t="shared" si="15"/>
        <v>1950</v>
      </c>
      <c r="Q188" s="27">
        <v>0</v>
      </c>
      <c r="R188" s="25">
        <v>0</v>
      </c>
      <c r="S188" s="25">
        <v>0</v>
      </c>
      <c r="T188" s="359"/>
    </row>
    <row r="189" spans="1:20" ht="12.75">
      <c r="A189" s="25">
        <v>796</v>
      </c>
      <c r="B189" s="26" t="s">
        <v>201</v>
      </c>
      <c r="C189" s="25">
        <v>1340</v>
      </c>
      <c r="D189" s="155">
        <v>122</v>
      </c>
      <c r="E189" s="155">
        <v>122</v>
      </c>
      <c r="F189" s="283">
        <f t="shared" si="18"/>
        <v>122</v>
      </c>
      <c r="G189" s="283">
        <v>122</v>
      </c>
      <c r="H189" s="283">
        <v>122</v>
      </c>
      <c r="I189" s="380">
        <f t="shared" si="16"/>
        <v>796</v>
      </c>
      <c r="J189" s="380">
        <v>122</v>
      </c>
      <c r="K189" s="350">
        <v>0</v>
      </c>
      <c r="L189" s="374">
        <v>116</v>
      </c>
      <c r="M189" s="374">
        <v>233</v>
      </c>
      <c r="N189" s="445">
        <f>M189*1.33333</f>
        <v>310.66589</v>
      </c>
      <c r="O189" s="799">
        <f t="shared" si="17"/>
        <v>388.3323625</v>
      </c>
      <c r="P189" s="358">
        <f t="shared" si="15"/>
        <v>1695</v>
      </c>
      <c r="Q189" s="27">
        <v>0</v>
      </c>
      <c r="R189" s="25">
        <v>0</v>
      </c>
      <c r="S189" s="25">
        <v>0</v>
      </c>
      <c r="T189" s="359"/>
    </row>
    <row r="190" spans="1:20" ht="12.75">
      <c r="A190" s="25">
        <v>797</v>
      </c>
      <c r="B190" s="26" t="s">
        <v>202</v>
      </c>
      <c r="C190" s="25">
        <v>1170</v>
      </c>
      <c r="D190" s="155">
        <v>144</v>
      </c>
      <c r="E190" s="155">
        <v>144</v>
      </c>
      <c r="F190" s="283">
        <f t="shared" si="18"/>
        <v>144</v>
      </c>
      <c r="G190" s="283">
        <v>144</v>
      </c>
      <c r="H190" s="283">
        <v>144</v>
      </c>
      <c r="I190" s="380">
        <f t="shared" si="16"/>
        <v>797</v>
      </c>
      <c r="J190" s="380">
        <v>144</v>
      </c>
      <c r="K190" s="350">
        <v>0</v>
      </c>
      <c r="L190" s="350">
        <v>0</v>
      </c>
      <c r="M190" s="350">
        <v>0</v>
      </c>
      <c r="N190" s="445">
        <f>M190*1.1</f>
        <v>0</v>
      </c>
      <c r="O190" s="800">
        <f>N190</f>
        <v>0</v>
      </c>
      <c r="P190" s="358">
        <f t="shared" si="15"/>
        <v>1314</v>
      </c>
      <c r="Q190" s="27">
        <v>0</v>
      </c>
      <c r="R190" s="25">
        <v>0</v>
      </c>
      <c r="S190" s="25">
        <v>0</v>
      </c>
      <c r="T190" s="359"/>
    </row>
    <row r="191" spans="1:20" ht="12.75">
      <c r="A191" s="25">
        <v>798</v>
      </c>
      <c r="B191" s="26" t="s">
        <v>203</v>
      </c>
      <c r="C191" s="25">
        <v>961</v>
      </c>
      <c r="D191" s="155">
        <v>170</v>
      </c>
      <c r="E191" s="381">
        <v>216</v>
      </c>
      <c r="F191" s="283">
        <v>261</v>
      </c>
      <c r="G191" s="350">
        <v>327</v>
      </c>
      <c r="H191" s="350">
        <v>350</v>
      </c>
      <c r="I191" s="380">
        <f t="shared" si="16"/>
        <v>798</v>
      </c>
      <c r="J191" s="380">
        <v>414.7</v>
      </c>
      <c r="K191" s="350">
        <v>0</v>
      </c>
      <c r="L191" s="350">
        <v>0</v>
      </c>
      <c r="M191" s="350">
        <v>0</v>
      </c>
      <c r="N191" s="445">
        <f>M191*1.1</f>
        <v>0</v>
      </c>
      <c r="O191" s="800">
        <f>N191</f>
        <v>0</v>
      </c>
      <c r="P191" s="358">
        <f t="shared" si="15"/>
        <v>1288</v>
      </c>
      <c r="Q191" s="27">
        <v>0</v>
      </c>
      <c r="R191" s="25">
        <v>0</v>
      </c>
      <c r="S191" s="25">
        <v>0</v>
      </c>
      <c r="T191" s="359"/>
    </row>
    <row r="192" spans="1:20" ht="12.75">
      <c r="A192" s="360">
        <v>800</v>
      </c>
      <c r="B192" s="361" t="s">
        <v>429</v>
      </c>
      <c r="C192" s="360">
        <v>1942</v>
      </c>
      <c r="D192" s="155"/>
      <c r="E192" s="381"/>
      <c r="F192" s="283"/>
      <c r="G192" s="350">
        <v>43</v>
      </c>
      <c r="H192" s="350">
        <v>43</v>
      </c>
      <c r="I192" s="380">
        <f t="shared" si="16"/>
        <v>800</v>
      </c>
      <c r="J192" s="380">
        <v>43</v>
      </c>
      <c r="K192" s="350"/>
      <c r="L192" s="350"/>
      <c r="M192" s="350">
        <v>233</v>
      </c>
      <c r="N192" s="445">
        <f>M192*1.33333</f>
        <v>310.66589</v>
      </c>
      <c r="O192" s="799">
        <f t="shared" si="17"/>
        <v>388.3323625</v>
      </c>
      <c r="P192" s="358">
        <f t="shared" si="15"/>
        <v>2218</v>
      </c>
      <c r="Q192" s="390">
        <v>17</v>
      </c>
      <c r="R192" s="25">
        <v>0</v>
      </c>
      <c r="S192" s="25">
        <v>0</v>
      </c>
      <c r="T192" s="359"/>
    </row>
    <row r="193" spans="1:20" ht="12.75">
      <c r="A193" s="360">
        <v>801</v>
      </c>
      <c r="B193" s="361" t="s">
        <v>430</v>
      </c>
      <c r="C193" s="360">
        <v>1782</v>
      </c>
      <c r="D193" s="155"/>
      <c r="E193" s="381"/>
      <c r="F193" s="283"/>
      <c r="G193" s="350">
        <v>64</v>
      </c>
      <c r="H193" s="350">
        <v>64</v>
      </c>
      <c r="I193" s="380">
        <f t="shared" si="16"/>
        <v>801</v>
      </c>
      <c r="J193" s="380">
        <v>64</v>
      </c>
      <c r="K193" s="350"/>
      <c r="L193" s="350"/>
      <c r="M193" s="350">
        <v>233</v>
      </c>
      <c r="N193" s="445">
        <f>M193*1.33333</f>
        <v>310.66589</v>
      </c>
      <c r="O193" s="799">
        <f t="shared" si="17"/>
        <v>388.3323625</v>
      </c>
      <c r="P193" s="358">
        <f t="shared" si="15"/>
        <v>2079</v>
      </c>
      <c r="Q193" s="390">
        <v>17</v>
      </c>
      <c r="R193" s="25">
        <v>0</v>
      </c>
      <c r="S193" s="25">
        <v>0</v>
      </c>
      <c r="T193" s="359"/>
    </row>
    <row r="194" spans="1:20" ht="12.75">
      <c r="A194" s="360">
        <v>802</v>
      </c>
      <c r="B194" s="361" t="s">
        <v>431</v>
      </c>
      <c r="C194" s="360">
        <v>1700</v>
      </c>
      <c r="D194" s="155"/>
      <c r="E194" s="381"/>
      <c r="F194" s="283"/>
      <c r="G194" s="350">
        <v>75</v>
      </c>
      <c r="H194" s="350">
        <v>75</v>
      </c>
      <c r="I194" s="380">
        <f t="shared" si="16"/>
        <v>802</v>
      </c>
      <c r="J194" s="380">
        <v>75</v>
      </c>
      <c r="K194" s="350"/>
      <c r="L194" s="350"/>
      <c r="M194" s="350">
        <v>233</v>
      </c>
      <c r="N194" s="445">
        <f>M194*1.33333</f>
        <v>310.66589</v>
      </c>
      <c r="O194" s="799">
        <f t="shared" si="17"/>
        <v>388.3323625</v>
      </c>
      <c r="P194" s="358">
        <f t="shared" si="15"/>
        <v>2008</v>
      </c>
      <c r="Q194" s="390">
        <v>17</v>
      </c>
      <c r="R194" s="25">
        <v>0</v>
      </c>
      <c r="S194" s="25">
        <v>0</v>
      </c>
      <c r="T194" s="359"/>
    </row>
    <row r="195" spans="1:20" s="383" customFormat="1" ht="12.75">
      <c r="A195" s="360">
        <v>803</v>
      </c>
      <c r="B195" s="361" t="s">
        <v>403</v>
      </c>
      <c r="C195" s="360">
        <v>971</v>
      </c>
      <c r="D195" s="362">
        <v>170</v>
      </c>
      <c r="E195" s="378">
        <v>216</v>
      </c>
      <c r="F195" s="363">
        <v>261</v>
      </c>
      <c r="G195" s="350">
        <v>327</v>
      </c>
      <c r="H195" s="350">
        <v>350</v>
      </c>
      <c r="I195" s="363">
        <f t="shared" si="16"/>
        <v>803</v>
      </c>
      <c r="J195" s="363">
        <v>214</v>
      </c>
      <c r="K195" s="351">
        <v>0</v>
      </c>
      <c r="L195" s="351">
        <v>0</v>
      </c>
      <c r="M195" s="364">
        <v>0</v>
      </c>
      <c r="N195" s="445">
        <f>M195*1.1</f>
        <v>0</v>
      </c>
      <c r="O195" s="800">
        <f>N195</f>
        <v>0</v>
      </c>
      <c r="P195" s="358">
        <f aca="true" t="shared" si="19" ref="P195:P259">C195+G195+M195</f>
        <v>1298</v>
      </c>
      <c r="Q195" s="360">
        <v>0</v>
      </c>
      <c r="R195" s="360">
        <v>413</v>
      </c>
      <c r="S195" s="366">
        <v>0</v>
      </c>
      <c r="T195" s="366"/>
    </row>
    <row r="196" spans="1:16" s="797" customFormat="1" ht="12.75">
      <c r="A196" s="791">
        <v>807</v>
      </c>
      <c r="B196" s="792" t="s">
        <v>501</v>
      </c>
      <c r="C196" s="793">
        <v>1942</v>
      </c>
      <c r="D196" s="794">
        <v>43</v>
      </c>
      <c r="E196" s="794" t="s">
        <v>502</v>
      </c>
      <c r="F196" s="790">
        <f>E196*1.25</f>
        <v>647.5</v>
      </c>
      <c r="G196" s="795">
        <v>0</v>
      </c>
      <c r="H196" s="793">
        <v>0</v>
      </c>
      <c r="I196" s="793">
        <v>0</v>
      </c>
      <c r="J196" s="793">
        <v>0</v>
      </c>
      <c r="K196" s="793">
        <v>0</v>
      </c>
      <c r="L196" s="796"/>
      <c r="M196" s="796"/>
      <c r="N196" s="796"/>
      <c r="O196" s="799">
        <f t="shared" si="17"/>
        <v>0</v>
      </c>
      <c r="P196" s="796"/>
    </row>
    <row r="197" spans="1:20" ht="12.75">
      <c r="A197" s="25">
        <v>808</v>
      </c>
      <c r="B197" s="26" t="s">
        <v>204</v>
      </c>
      <c r="C197" s="25">
        <v>1942</v>
      </c>
      <c r="D197" s="155">
        <v>43</v>
      </c>
      <c r="E197" s="155">
        <v>43</v>
      </c>
      <c r="F197" s="283">
        <f>IF(C197&lt;972,E197+44,E197)</f>
        <v>43</v>
      </c>
      <c r="G197" s="283">
        <v>43</v>
      </c>
      <c r="H197" s="283">
        <v>43</v>
      </c>
      <c r="I197" s="380">
        <f t="shared" si="16"/>
        <v>808</v>
      </c>
      <c r="J197" s="380">
        <v>43</v>
      </c>
      <c r="K197" s="350">
        <v>0</v>
      </c>
      <c r="L197" s="374">
        <v>116</v>
      </c>
      <c r="M197" s="374">
        <v>233</v>
      </c>
      <c r="N197" s="445">
        <f>M197*1.33333</f>
        <v>310.66589</v>
      </c>
      <c r="O197" s="799">
        <f t="shared" si="17"/>
        <v>388.3323625</v>
      </c>
      <c r="P197" s="358">
        <f t="shared" si="19"/>
        <v>2218</v>
      </c>
      <c r="Q197" s="27">
        <v>0</v>
      </c>
      <c r="R197" s="25">
        <v>0</v>
      </c>
      <c r="S197" s="25">
        <v>669</v>
      </c>
      <c r="T197" s="359"/>
    </row>
    <row r="198" spans="1:20" ht="12.75">
      <c r="A198" s="25">
        <v>809</v>
      </c>
      <c r="B198" s="26" t="s">
        <v>205</v>
      </c>
      <c r="C198" s="25">
        <v>1782</v>
      </c>
      <c r="D198" s="155">
        <v>64</v>
      </c>
      <c r="E198" s="155">
        <v>64</v>
      </c>
      <c r="F198" s="283">
        <f>IF(C198&lt;972,E198+44,E198)</f>
        <v>64</v>
      </c>
      <c r="G198" s="283">
        <v>64</v>
      </c>
      <c r="H198" s="283">
        <v>64</v>
      </c>
      <c r="I198" s="380">
        <f t="shared" si="16"/>
        <v>809</v>
      </c>
      <c r="J198" s="380">
        <v>64</v>
      </c>
      <c r="K198" s="350">
        <v>0</v>
      </c>
      <c r="L198" s="374">
        <v>116</v>
      </c>
      <c r="M198" s="374">
        <v>233</v>
      </c>
      <c r="N198" s="445">
        <f>M198*1.33333</f>
        <v>310.66589</v>
      </c>
      <c r="O198" s="799">
        <f t="shared" si="17"/>
        <v>388.3323625</v>
      </c>
      <c r="P198" s="358">
        <f t="shared" si="19"/>
        <v>2079</v>
      </c>
      <c r="Q198" s="27">
        <v>0</v>
      </c>
      <c r="R198" s="25">
        <v>0</v>
      </c>
      <c r="S198" s="25">
        <v>669</v>
      </c>
      <c r="T198" s="359"/>
    </row>
    <row r="199" spans="1:20" ht="12.75">
      <c r="A199" s="25">
        <v>810</v>
      </c>
      <c r="B199" s="26" t="s">
        <v>206</v>
      </c>
      <c r="C199" s="25">
        <v>1692</v>
      </c>
      <c r="D199" s="155">
        <v>76</v>
      </c>
      <c r="E199" s="155">
        <v>76</v>
      </c>
      <c r="F199" s="283">
        <f>IF(C199&lt;972,E199+44,E199)</f>
        <v>76</v>
      </c>
      <c r="G199" s="283">
        <v>76</v>
      </c>
      <c r="H199" s="283">
        <v>76</v>
      </c>
      <c r="I199" s="380">
        <f aca="true" t="shared" si="20" ref="I199:I262">A199</f>
        <v>810</v>
      </c>
      <c r="J199" s="380">
        <v>76</v>
      </c>
      <c r="K199" s="350">
        <v>0</v>
      </c>
      <c r="L199" s="374">
        <v>116</v>
      </c>
      <c r="M199" s="374">
        <v>233</v>
      </c>
      <c r="N199" s="445">
        <f>M199*1.33333</f>
        <v>310.66589</v>
      </c>
      <c r="O199" s="799">
        <f t="shared" si="17"/>
        <v>388.3323625</v>
      </c>
      <c r="P199" s="358">
        <f t="shared" si="19"/>
        <v>2001</v>
      </c>
      <c r="Q199" s="27">
        <v>0</v>
      </c>
      <c r="R199" s="25">
        <v>0</v>
      </c>
      <c r="S199" s="25">
        <v>663</v>
      </c>
      <c r="T199" s="359"/>
    </row>
    <row r="200" spans="1:20" ht="12.75">
      <c r="A200" s="25">
        <v>811</v>
      </c>
      <c r="B200" s="26" t="s">
        <v>207</v>
      </c>
      <c r="C200" s="25">
        <v>1592</v>
      </c>
      <c r="D200" s="155">
        <v>89</v>
      </c>
      <c r="E200" s="155">
        <v>89</v>
      </c>
      <c r="F200" s="283">
        <f>IF(C200&lt;972,E200+44,E200)</f>
        <v>89</v>
      </c>
      <c r="G200" s="283">
        <v>89</v>
      </c>
      <c r="H200" s="283">
        <v>89</v>
      </c>
      <c r="I200" s="380">
        <f t="shared" si="20"/>
        <v>811</v>
      </c>
      <c r="J200" s="380">
        <v>89</v>
      </c>
      <c r="K200" s="350">
        <v>0</v>
      </c>
      <c r="L200" s="374">
        <v>116</v>
      </c>
      <c r="M200" s="374">
        <v>233</v>
      </c>
      <c r="N200" s="445">
        <f>M200*1.33333</f>
        <v>310.66589</v>
      </c>
      <c r="O200" s="799">
        <f t="shared" si="17"/>
        <v>388.3323625</v>
      </c>
      <c r="P200" s="358">
        <f t="shared" si="19"/>
        <v>1914</v>
      </c>
      <c r="Q200" s="27">
        <v>0</v>
      </c>
      <c r="R200" s="25">
        <v>0</v>
      </c>
      <c r="S200" s="25">
        <v>657</v>
      </c>
      <c r="T200" s="359"/>
    </row>
    <row r="201" spans="1:20" ht="12.75">
      <c r="A201" s="25">
        <v>812</v>
      </c>
      <c r="B201" s="26" t="s">
        <v>208</v>
      </c>
      <c r="C201" s="25">
        <v>1600</v>
      </c>
      <c r="D201" s="155">
        <v>88</v>
      </c>
      <c r="E201" s="155">
        <v>88</v>
      </c>
      <c r="F201" s="283">
        <f>IF(C201&lt;972,E201+44,E201)</f>
        <v>88</v>
      </c>
      <c r="G201" s="283">
        <v>88</v>
      </c>
      <c r="H201" s="283">
        <v>88</v>
      </c>
      <c r="I201" s="380">
        <f t="shared" si="20"/>
        <v>812</v>
      </c>
      <c r="J201" s="380">
        <v>88</v>
      </c>
      <c r="K201" s="350">
        <v>0</v>
      </c>
      <c r="L201" s="374">
        <v>116</v>
      </c>
      <c r="M201" s="374">
        <v>233</v>
      </c>
      <c r="N201" s="445">
        <f>M201*1.33333</f>
        <v>310.66589</v>
      </c>
      <c r="O201" s="799">
        <f t="shared" si="17"/>
        <v>388.3323625</v>
      </c>
      <c r="P201" s="358">
        <f t="shared" si="19"/>
        <v>1921</v>
      </c>
      <c r="Q201" s="27">
        <v>0</v>
      </c>
      <c r="R201" s="25">
        <v>0</v>
      </c>
      <c r="S201" s="25">
        <v>657</v>
      </c>
      <c r="T201" s="359"/>
    </row>
    <row r="202" spans="1:20" ht="12.75">
      <c r="A202" s="25">
        <v>813</v>
      </c>
      <c r="B202" s="26" t="s">
        <v>209</v>
      </c>
      <c r="C202" s="25">
        <v>971</v>
      </c>
      <c r="D202" s="155">
        <v>170</v>
      </c>
      <c r="E202" s="155">
        <v>170</v>
      </c>
      <c r="F202" s="283">
        <v>170</v>
      </c>
      <c r="G202" s="350">
        <v>214</v>
      </c>
      <c r="H202" s="350">
        <v>214</v>
      </c>
      <c r="I202" s="380">
        <f t="shared" si="20"/>
        <v>813</v>
      </c>
      <c r="J202" s="380">
        <v>214</v>
      </c>
      <c r="K202" s="350">
        <v>0</v>
      </c>
      <c r="L202" s="350">
        <v>0</v>
      </c>
      <c r="M202" s="350">
        <v>0</v>
      </c>
      <c r="N202" s="445">
        <f>M202*1.1</f>
        <v>0</v>
      </c>
      <c r="O202" s="800">
        <f>N202</f>
        <v>0</v>
      </c>
      <c r="P202" s="358">
        <f t="shared" si="19"/>
        <v>1185</v>
      </c>
      <c r="Q202" s="27">
        <v>0</v>
      </c>
      <c r="R202" s="25">
        <v>0</v>
      </c>
      <c r="S202" s="25">
        <v>620</v>
      </c>
      <c r="T202" s="359"/>
    </row>
    <row r="203" spans="1:20" ht="12.75">
      <c r="A203" s="25">
        <v>814</v>
      </c>
      <c r="B203" s="26" t="s">
        <v>210</v>
      </c>
      <c r="C203" s="25">
        <v>971</v>
      </c>
      <c r="D203" s="155">
        <v>170</v>
      </c>
      <c r="E203" s="155">
        <v>170</v>
      </c>
      <c r="F203" s="283">
        <v>170</v>
      </c>
      <c r="G203" s="350">
        <v>214</v>
      </c>
      <c r="H203" s="350">
        <v>214</v>
      </c>
      <c r="I203" s="380">
        <f t="shared" si="20"/>
        <v>814</v>
      </c>
      <c r="J203" s="380">
        <v>214</v>
      </c>
      <c r="K203" s="350">
        <v>0</v>
      </c>
      <c r="L203" s="350">
        <v>0</v>
      </c>
      <c r="M203" s="350">
        <v>0</v>
      </c>
      <c r="N203" s="445">
        <f>M203*1.1</f>
        <v>0</v>
      </c>
      <c r="O203" s="800">
        <f>N203</f>
        <v>0</v>
      </c>
      <c r="P203" s="358">
        <f t="shared" si="19"/>
        <v>1185</v>
      </c>
      <c r="Q203" s="27">
        <v>0</v>
      </c>
      <c r="R203" s="25">
        <v>0</v>
      </c>
      <c r="S203" s="25">
        <v>155</v>
      </c>
      <c r="T203" s="359"/>
    </row>
    <row r="204" spans="1:20" ht="12.75">
      <c r="A204" s="25">
        <v>815</v>
      </c>
      <c r="B204" s="26" t="s">
        <v>211</v>
      </c>
      <c r="C204" s="25">
        <v>971</v>
      </c>
      <c r="D204" s="155">
        <v>170</v>
      </c>
      <c r="E204" s="155">
        <v>170</v>
      </c>
      <c r="F204" s="283">
        <v>170</v>
      </c>
      <c r="G204" s="350">
        <v>214</v>
      </c>
      <c r="H204" s="350">
        <v>214</v>
      </c>
      <c r="I204" s="380">
        <f t="shared" si="20"/>
        <v>815</v>
      </c>
      <c r="J204" s="380">
        <v>214</v>
      </c>
      <c r="K204" s="350">
        <v>0</v>
      </c>
      <c r="L204" s="350">
        <v>0</v>
      </c>
      <c r="M204" s="350">
        <v>0</v>
      </c>
      <c r="N204" s="445">
        <f>M204*1.1</f>
        <v>0</v>
      </c>
      <c r="O204" s="800">
        <f>N204</f>
        <v>0</v>
      </c>
      <c r="P204" s="358">
        <f t="shared" si="19"/>
        <v>1185</v>
      </c>
      <c r="Q204" s="27">
        <v>17</v>
      </c>
      <c r="R204" s="25">
        <v>0</v>
      </c>
      <c r="S204" s="25">
        <v>0</v>
      </c>
      <c r="T204" s="359"/>
    </row>
    <row r="205" spans="1:20" ht="12.75">
      <c r="A205" s="25">
        <v>816</v>
      </c>
      <c r="B205" s="26" t="s">
        <v>212</v>
      </c>
      <c r="C205" s="25">
        <v>1600</v>
      </c>
      <c r="D205" s="155">
        <v>88</v>
      </c>
      <c r="E205" s="155">
        <v>88</v>
      </c>
      <c r="F205" s="283">
        <f>IF(C205&lt;972,E205+44,E205)</f>
        <v>88</v>
      </c>
      <c r="G205" s="283">
        <v>88</v>
      </c>
      <c r="H205" s="283">
        <v>88</v>
      </c>
      <c r="I205" s="380">
        <f t="shared" si="20"/>
        <v>816</v>
      </c>
      <c r="J205" s="380">
        <v>88</v>
      </c>
      <c r="K205" s="350">
        <v>0</v>
      </c>
      <c r="L205" s="374">
        <v>116</v>
      </c>
      <c r="M205" s="374">
        <v>233</v>
      </c>
      <c r="N205" s="445">
        <f>M205*1.33333</f>
        <v>310.66589</v>
      </c>
      <c r="O205" s="799">
        <f t="shared" si="17"/>
        <v>388.3323625</v>
      </c>
      <c r="P205" s="358">
        <f t="shared" si="19"/>
        <v>1921</v>
      </c>
      <c r="Q205" s="27">
        <v>17</v>
      </c>
      <c r="R205" s="25">
        <v>0</v>
      </c>
      <c r="S205" s="25">
        <v>0</v>
      </c>
      <c r="T205" s="359"/>
    </row>
    <row r="206" spans="1:20" ht="12.75">
      <c r="A206" s="25">
        <v>817</v>
      </c>
      <c r="B206" s="26" t="s">
        <v>213</v>
      </c>
      <c r="C206" s="25">
        <v>1782</v>
      </c>
      <c r="D206" s="155">
        <v>64</v>
      </c>
      <c r="E206" s="155">
        <v>64</v>
      </c>
      <c r="F206" s="283">
        <f>IF(C206&lt;972,E206+44,E206)</f>
        <v>64</v>
      </c>
      <c r="G206" s="283">
        <v>64</v>
      </c>
      <c r="H206" s="283">
        <v>64</v>
      </c>
      <c r="I206" s="380">
        <f t="shared" si="20"/>
        <v>817</v>
      </c>
      <c r="J206" s="380">
        <v>64</v>
      </c>
      <c r="K206" s="350">
        <v>0</v>
      </c>
      <c r="L206" s="350">
        <v>175</v>
      </c>
      <c r="M206" s="350">
        <v>349</v>
      </c>
      <c r="N206" s="445">
        <f>M206*1.33333</f>
        <v>465.33216999999996</v>
      </c>
      <c r="O206" s="799">
        <f t="shared" si="17"/>
        <v>581.6652124999999</v>
      </c>
      <c r="P206" s="358">
        <f t="shared" si="19"/>
        <v>2195</v>
      </c>
      <c r="Q206" s="27">
        <v>0</v>
      </c>
      <c r="R206" s="25">
        <v>0</v>
      </c>
      <c r="S206" s="25">
        <v>839</v>
      </c>
      <c r="T206" s="359"/>
    </row>
    <row r="207" spans="1:20" ht="12.75">
      <c r="A207" s="25">
        <v>818</v>
      </c>
      <c r="B207" s="26" t="s">
        <v>214</v>
      </c>
      <c r="C207" s="25">
        <v>971</v>
      </c>
      <c r="D207" s="155">
        <v>170</v>
      </c>
      <c r="E207" s="155">
        <v>170</v>
      </c>
      <c r="F207" s="283">
        <v>170</v>
      </c>
      <c r="G207" s="350">
        <v>214</v>
      </c>
      <c r="H207" s="350">
        <v>214</v>
      </c>
      <c r="I207" s="380">
        <f t="shared" si="20"/>
        <v>818</v>
      </c>
      <c r="J207" s="380">
        <v>214</v>
      </c>
      <c r="K207" s="350">
        <v>0</v>
      </c>
      <c r="L207" s="350">
        <v>0</v>
      </c>
      <c r="M207" s="350">
        <v>0</v>
      </c>
      <c r="N207" s="445">
        <f>M207*1.1</f>
        <v>0</v>
      </c>
      <c r="O207" s="800">
        <f>N207</f>
        <v>0</v>
      </c>
      <c r="P207" s="358">
        <f t="shared" si="19"/>
        <v>1185</v>
      </c>
      <c r="Q207" s="27">
        <v>0</v>
      </c>
      <c r="R207" s="25">
        <v>0</v>
      </c>
      <c r="S207" s="25">
        <v>659</v>
      </c>
      <c r="T207" s="359"/>
    </row>
    <row r="208" spans="1:20" ht="12.75">
      <c r="A208" s="25">
        <v>819</v>
      </c>
      <c r="B208" s="26" t="s">
        <v>215</v>
      </c>
      <c r="C208" s="25">
        <v>971</v>
      </c>
      <c r="D208" s="155">
        <v>170</v>
      </c>
      <c r="E208" s="155">
        <v>170</v>
      </c>
      <c r="F208" s="283">
        <v>170</v>
      </c>
      <c r="G208" s="350">
        <v>214</v>
      </c>
      <c r="H208" s="350">
        <v>214</v>
      </c>
      <c r="I208" s="380">
        <f t="shared" si="20"/>
        <v>819</v>
      </c>
      <c r="J208" s="380">
        <v>214</v>
      </c>
      <c r="K208" s="350">
        <v>0</v>
      </c>
      <c r="L208" s="350">
        <v>0</v>
      </c>
      <c r="M208" s="350">
        <v>0</v>
      </c>
      <c r="N208" s="445">
        <f>M208*1.1</f>
        <v>0</v>
      </c>
      <c r="O208" s="800">
        <f>N208</f>
        <v>0</v>
      </c>
      <c r="P208" s="358">
        <f t="shared" si="19"/>
        <v>1185</v>
      </c>
      <c r="Q208" s="27">
        <v>0</v>
      </c>
      <c r="R208" s="25">
        <v>0</v>
      </c>
      <c r="S208" s="25">
        <v>155</v>
      </c>
      <c r="T208" s="359"/>
    </row>
    <row r="209" spans="1:20" ht="12.75">
      <c r="A209" s="25">
        <v>820</v>
      </c>
      <c r="B209" s="26" t="s">
        <v>216</v>
      </c>
      <c r="C209" s="25">
        <v>1692</v>
      </c>
      <c r="D209" s="155">
        <v>76</v>
      </c>
      <c r="E209" s="155">
        <v>76</v>
      </c>
      <c r="F209" s="283">
        <f>IF(C209&lt;972,E209+44,E209)</f>
        <v>76</v>
      </c>
      <c r="G209" s="283">
        <v>76</v>
      </c>
      <c r="H209" s="283">
        <v>76</v>
      </c>
      <c r="I209" s="380">
        <f t="shared" si="20"/>
        <v>820</v>
      </c>
      <c r="J209" s="380">
        <v>76</v>
      </c>
      <c r="K209" s="350">
        <v>0</v>
      </c>
      <c r="L209" s="374">
        <v>136</v>
      </c>
      <c r="M209" s="374">
        <v>272</v>
      </c>
      <c r="N209" s="445">
        <f>M209*1.33333</f>
        <v>362.66576</v>
      </c>
      <c r="O209" s="799">
        <f t="shared" si="17"/>
        <v>453.33219999999994</v>
      </c>
      <c r="P209" s="358">
        <f t="shared" si="19"/>
        <v>2040</v>
      </c>
      <c r="Q209" s="27">
        <v>0</v>
      </c>
      <c r="R209" s="25">
        <v>0</v>
      </c>
      <c r="S209" s="25">
        <v>839</v>
      </c>
      <c r="T209" s="359"/>
    </row>
    <row r="210" spans="1:20" ht="12.75">
      <c r="A210" s="25">
        <v>821</v>
      </c>
      <c r="B210" s="26" t="s">
        <v>217</v>
      </c>
      <c r="C210" s="25">
        <v>1592</v>
      </c>
      <c r="D210" s="155">
        <v>89</v>
      </c>
      <c r="E210" s="155">
        <v>89</v>
      </c>
      <c r="F210" s="283">
        <f>IF(C210&lt;972,E210+44,E210)</f>
        <v>89</v>
      </c>
      <c r="G210" s="283">
        <v>89</v>
      </c>
      <c r="H210" s="283">
        <v>89</v>
      </c>
      <c r="I210" s="380">
        <f t="shared" si="20"/>
        <v>821</v>
      </c>
      <c r="J210" s="380">
        <v>89</v>
      </c>
      <c r="K210" s="350">
        <v>0</v>
      </c>
      <c r="L210" s="374">
        <v>116</v>
      </c>
      <c r="M210" s="374">
        <v>233</v>
      </c>
      <c r="N210" s="445">
        <f>M210*1.33333</f>
        <v>310.66589</v>
      </c>
      <c r="O210" s="799">
        <f t="shared" si="17"/>
        <v>388.3323625</v>
      </c>
      <c r="P210" s="358">
        <f t="shared" si="19"/>
        <v>1914</v>
      </c>
      <c r="Q210" s="27">
        <v>0</v>
      </c>
      <c r="R210" s="25">
        <v>0</v>
      </c>
      <c r="S210" s="25">
        <v>839</v>
      </c>
      <c r="T210" s="359"/>
    </row>
    <row r="211" spans="1:20" ht="12.75">
      <c r="A211" s="25">
        <v>822</v>
      </c>
      <c r="B211" s="26" t="s">
        <v>218</v>
      </c>
      <c r="C211" s="25">
        <v>971</v>
      </c>
      <c r="D211" s="155">
        <v>170</v>
      </c>
      <c r="E211" s="381">
        <v>216</v>
      </c>
      <c r="F211" s="283">
        <v>261</v>
      </c>
      <c r="G211" s="350">
        <v>327</v>
      </c>
      <c r="H211" s="350">
        <v>350</v>
      </c>
      <c r="I211" s="380">
        <f t="shared" si="20"/>
        <v>822</v>
      </c>
      <c r="J211" s="380">
        <v>414.7</v>
      </c>
      <c r="K211" s="350">
        <v>0</v>
      </c>
      <c r="L211" s="350">
        <v>0</v>
      </c>
      <c r="M211" s="350">
        <v>0</v>
      </c>
      <c r="N211" s="445">
        <f>M211*1.1</f>
        <v>0</v>
      </c>
      <c r="O211" s="800">
        <f>N211</f>
        <v>0</v>
      </c>
      <c r="P211" s="358">
        <f t="shared" si="19"/>
        <v>1298</v>
      </c>
      <c r="Q211" s="27">
        <v>0</v>
      </c>
      <c r="R211" s="25">
        <v>0</v>
      </c>
      <c r="S211" s="25">
        <v>155</v>
      </c>
      <c r="T211" s="359"/>
    </row>
    <row r="212" spans="1:20" ht="12.75">
      <c r="A212" s="25">
        <v>823</v>
      </c>
      <c r="B212" s="26" t="s">
        <v>219</v>
      </c>
      <c r="C212" s="25">
        <v>1700</v>
      </c>
      <c r="D212" s="155">
        <v>75</v>
      </c>
      <c r="E212" s="155">
        <v>75</v>
      </c>
      <c r="F212" s="283">
        <f>IF(C212&lt;972,E212+44,E212)</f>
        <v>75</v>
      </c>
      <c r="G212" s="283">
        <v>75</v>
      </c>
      <c r="H212" s="283">
        <v>75</v>
      </c>
      <c r="I212" s="380">
        <f t="shared" si="20"/>
        <v>823</v>
      </c>
      <c r="J212" s="380">
        <v>75</v>
      </c>
      <c r="K212" s="350">
        <v>0</v>
      </c>
      <c r="L212" s="374">
        <v>116</v>
      </c>
      <c r="M212" s="374">
        <v>233</v>
      </c>
      <c r="N212" s="445">
        <f>M212*1.33333</f>
        <v>310.66589</v>
      </c>
      <c r="O212" s="799">
        <f t="shared" si="17"/>
        <v>388.3323625</v>
      </c>
      <c r="P212" s="358">
        <f t="shared" si="19"/>
        <v>2008</v>
      </c>
      <c r="Q212" s="27">
        <v>0</v>
      </c>
      <c r="R212" s="25">
        <v>0</v>
      </c>
      <c r="S212" s="25">
        <v>657</v>
      </c>
      <c r="T212" s="359"/>
    </row>
    <row r="213" spans="1:20" ht="12.75">
      <c r="A213" s="25">
        <v>824</v>
      </c>
      <c r="B213" s="26" t="s">
        <v>220</v>
      </c>
      <c r="C213" s="25">
        <v>1400</v>
      </c>
      <c r="D213" s="155">
        <v>114</v>
      </c>
      <c r="E213" s="155">
        <v>114</v>
      </c>
      <c r="F213" s="283">
        <f>IF(C213&lt;972,E213+44,E213)</f>
        <v>114</v>
      </c>
      <c r="G213" s="283">
        <v>114</v>
      </c>
      <c r="H213" s="283">
        <v>114</v>
      </c>
      <c r="I213" s="380">
        <f t="shared" si="20"/>
        <v>824</v>
      </c>
      <c r="J213" s="380">
        <v>114</v>
      </c>
      <c r="K213" s="350">
        <v>0</v>
      </c>
      <c r="L213" s="374">
        <v>116</v>
      </c>
      <c r="M213" s="374">
        <v>233</v>
      </c>
      <c r="N213" s="445">
        <f>M213*1.33333</f>
        <v>310.66589</v>
      </c>
      <c r="O213" s="799">
        <f t="shared" si="17"/>
        <v>388.3323625</v>
      </c>
      <c r="P213" s="358">
        <f t="shared" si="19"/>
        <v>1747</v>
      </c>
      <c r="Q213" s="27">
        <v>0</v>
      </c>
      <c r="R213" s="25">
        <v>0</v>
      </c>
      <c r="S213" s="25">
        <v>657</v>
      </c>
      <c r="T213" s="359"/>
    </row>
    <row r="214" spans="1:20" ht="12.75">
      <c r="A214" s="25">
        <v>825</v>
      </c>
      <c r="B214" s="26" t="s">
        <v>221</v>
      </c>
      <c r="C214" s="25">
        <v>1300</v>
      </c>
      <c r="D214" s="155">
        <v>127</v>
      </c>
      <c r="E214" s="155">
        <v>127</v>
      </c>
      <c r="F214" s="283">
        <f>IF(C214&lt;972,E214+44,E214)</f>
        <v>127</v>
      </c>
      <c r="G214" s="283">
        <v>127</v>
      </c>
      <c r="H214" s="283">
        <v>127</v>
      </c>
      <c r="I214" s="380">
        <f t="shared" si="20"/>
        <v>825</v>
      </c>
      <c r="J214" s="380">
        <v>127</v>
      </c>
      <c r="K214" s="350">
        <v>0</v>
      </c>
      <c r="L214" s="374">
        <v>116</v>
      </c>
      <c r="M214" s="374">
        <v>233</v>
      </c>
      <c r="N214" s="445">
        <f>M214*1.33333</f>
        <v>310.66589</v>
      </c>
      <c r="O214" s="799">
        <f t="shared" si="17"/>
        <v>388.3323625</v>
      </c>
      <c r="P214" s="358">
        <f t="shared" si="19"/>
        <v>1660</v>
      </c>
      <c r="Q214" s="27">
        <v>0</v>
      </c>
      <c r="R214" s="25">
        <v>0</v>
      </c>
      <c r="S214" s="25">
        <v>657</v>
      </c>
      <c r="T214" s="359"/>
    </row>
    <row r="215" spans="1:20" ht="12.75">
      <c r="A215" s="25">
        <v>826</v>
      </c>
      <c r="B215" s="26" t="s">
        <v>222</v>
      </c>
      <c r="C215" s="25">
        <v>1250</v>
      </c>
      <c r="D215" s="155">
        <v>134</v>
      </c>
      <c r="E215" s="155">
        <v>134</v>
      </c>
      <c r="F215" s="283">
        <f>IF(C215&lt;972,E215+44,E215)</f>
        <v>134</v>
      </c>
      <c r="G215" s="283">
        <v>134</v>
      </c>
      <c r="H215" s="283">
        <v>134</v>
      </c>
      <c r="I215" s="380">
        <f t="shared" si="20"/>
        <v>826</v>
      </c>
      <c r="J215" s="380">
        <v>134</v>
      </c>
      <c r="K215" s="350">
        <v>0</v>
      </c>
      <c r="L215" s="374">
        <v>116</v>
      </c>
      <c r="M215" s="374">
        <v>233</v>
      </c>
      <c r="N215" s="445">
        <f>M215*1.33333</f>
        <v>310.66589</v>
      </c>
      <c r="O215" s="799">
        <f t="shared" si="17"/>
        <v>388.3323625</v>
      </c>
      <c r="P215" s="358">
        <f t="shared" si="19"/>
        <v>1617</v>
      </c>
      <c r="Q215" s="27">
        <v>0</v>
      </c>
      <c r="R215" s="25">
        <v>0</v>
      </c>
      <c r="S215" s="25">
        <v>657</v>
      </c>
      <c r="T215" s="359"/>
    </row>
    <row r="216" spans="1:20" ht="12.75">
      <c r="A216" s="25">
        <v>827</v>
      </c>
      <c r="B216" s="388" t="s">
        <v>399</v>
      </c>
      <c r="C216" s="389">
        <v>1942</v>
      </c>
      <c r="D216" s="386">
        <v>43</v>
      </c>
      <c r="E216" s="386">
        <v>43</v>
      </c>
      <c r="F216" s="374">
        <v>43</v>
      </c>
      <c r="G216" s="374">
        <v>43</v>
      </c>
      <c r="H216" s="374">
        <v>43</v>
      </c>
      <c r="I216" s="387">
        <f t="shared" si="20"/>
        <v>827</v>
      </c>
      <c r="J216" s="387">
        <v>43</v>
      </c>
      <c r="K216" s="374">
        <v>0</v>
      </c>
      <c r="L216" s="374">
        <v>194</v>
      </c>
      <c r="M216" s="374">
        <v>388</v>
      </c>
      <c r="N216" s="445">
        <f>M216*1.33333</f>
        <v>517.33204</v>
      </c>
      <c r="O216" s="799">
        <f t="shared" si="17"/>
        <v>646.6650500000001</v>
      </c>
      <c r="P216" s="358">
        <f t="shared" si="19"/>
        <v>2373</v>
      </c>
      <c r="Q216" s="27">
        <v>0</v>
      </c>
      <c r="R216" s="25">
        <v>0</v>
      </c>
      <c r="S216" s="25">
        <v>0</v>
      </c>
      <c r="T216" s="359"/>
    </row>
    <row r="217" spans="1:20" ht="12.75">
      <c r="A217" s="25">
        <v>828</v>
      </c>
      <c r="B217" s="26" t="s">
        <v>223</v>
      </c>
      <c r="C217" s="25">
        <v>2913</v>
      </c>
      <c r="D217" s="155">
        <v>0</v>
      </c>
      <c r="E217" s="155">
        <v>0</v>
      </c>
      <c r="F217" s="283">
        <f>IF(C217&lt;972,E217+44,E217)</f>
        <v>0</v>
      </c>
      <c r="G217" s="283">
        <v>0</v>
      </c>
      <c r="H217" s="283">
        <v>0</v>
      </c>
      <c r="I217" s="380">
        <f t="shared" si="20"/>
        <v>828</v>
      </c>
      <c r="J217" s="380">
        <v>0</v>
      </c>
      <c r="K217" s="350">
        <v>0</v>
      </c>
      <c r="L217" s="350">
        <v>0</v>
      </c>
      <c r="M217" s="350">
        <v>0</v>
      </c>
      <c r="N217" s="445">
        <f>M217*1.1</f>
        <v>0</v>
      </c>
      <c r="O217" s="800">
        <f>N217</f>
        <v>0</v>
      </c>
      <c r="P217" s="358">
        <f t="shared" si="19"/>
        <v>2913</v>
      </c>
      <c r="Q217" s="27">
        <v>0</v>
      </c>
      <c r="R217" s="25">
        <v>0</v>
      </c>
      <c r="S217" s="25">
        <v>0</v>
      </c>
      <c r="T217" s="359"/>
    </row>
    <row r="218" spans="1:20" ht="12.75">
      <c r="A218" s="25">
        <v>829</v>
      </c>
      <c r="B218" s="388" t="s">
        <v>432</v>
      </c>
      <c r="C218" s="389">
        <v>1782</v>
      </c>
      <c r="D218" s="386">
        <v>64</v>
      </c>
      <c r="E218" s="386">
        <v>64</v>
      </c>
      <c r="F218" s="283">
        <v>64</v>
      </c>
      <c r="G218" s="283">
        <v>64</v>
      </c>
      <c r="H218" s="283">
        <v>64</v>
      </c>
      <c r="I218" s="380">
        <f t="shared" si="20"/>
        <v>829</v>
      </c>
      <c r="J218" s="380">
        <v>64</v>
      </c>
      <c r="K218" s="350">
        <v>0</v>
      </c>
      <c r="L218" s="374">
        <v>175</v>
      </c>
      <c r="M218" s="374">
        <v>349</v>
      </c>
      <c r="N218" s="445">
        <f>M218*1.33333</f>
        <v>465.33216999999996</v>
      </c>
      <c r="O218" s="799">
        <f t="shared" si="17"/>
        <v>581.6652124999999</v>
      </c>
      <c r="P218" s="358">
        <f t="shared" si="19"/>
        <v>2195</v>
      </c>
      <c r="Q218" s="27">
        <v>0</v>
      </c>
      <c r="R218" s="25">
        <v>0</v>
      </c>
      <c r="S218" s="25">
        <v>0</v>
      </c>
      <c r="T218" s="359"/>
    </row>
    <row r="219" spans="1:20" ht="12.75">
      <c r="A219" s="25">
        <v>830</v>
      </c>
      <c r="B219" s="26" t="s">
        <v>224</v>
      </c>
      <c r="C219" s="25">
        <v>1740</v>
      </c>
      <c r="D219" s="155">
        <v>70</v>
      </c>
      <c r="E219" s="155">
        <v>70</v>
      </c>
      <c r="F219" s="283">
        <f>IF(C219&lt;972,E219+44,E219)</f>
        <v>70</v>
      </c>
      <c r="G219" s="283">
        <v>70</v>
      </c>
      <c r="H219" s="283">
        <v>70</v>
      </c>
      <c r="I219" s="380">
        <f t="shared" si="20"/>
        <v>830</v>
      </c>
      <c r="J219" s="380">
        <v>70</v>
      </c>
      <c r="K219" s="350">
        <v>0</v>
      </c>
      <c r="L219" s="350">
        <v>0</v>
      </c>
      <c r="M219" s="350">
        <v>0</v>
      </c>
      <c r="N219" s="445">
        <f>M219*1.1</f>
        <v>0</v>
      </c>
      <c r="O219" s="800">
        <f>N219</f>
        <v>0</v>
      </c>
      <c r="P219" s="358">
        <f t="shared" si="19"/>
        <v>1810</v>
      </c>
      <c r="Q219" s="27">
        <v>0</v>
      </c>
      <c r="R219" s="25">
        <v>0</v>
      </c>
      <c r="S219" s="25">
        <v>0</v>
      </c>
      <c r="T219" s="359"/>
    </row>
    <row r="220" spans="1:20" ht="12.75">
      <c r="A220" s="25">
        <v>831</v>
      </c>
      <c r="B220" s="26" t="s">
        <v>225</v>
      </c>
      <c r="C220" s="25">
        <v>971</v>
      </c>
      <c r="D220" s="155">
        <v>170</v>
      </c>
      <c r="E220" s="381">
        <v>216</v>
      </c>
      <c r="F220" s="283">
        <v>261</v>
      </c>
      <c r="G220" s="350">
        <v>327</v>
      </c>
      <c r="H220" s="350">
        <v>350</v>
      </c>
      <c r="I220" s="380">
        <f t="shared" si="20"/>
        <v>831</v>
      </c>
      <c r="J220" s="380">
        <v>414.7</v>
      </c>
      <c r="K220" s="350">
        <v>0</v>
      </c>
      <c r="L220" s="350">
        <v>0</v>
      </c>
      <c r="M220" s="350">
        <v>0</v>
      </c>
      <c r="N220" s="445">
        <f>M220*1.1</f>
        <v>0</v>
      </c>
      <c r="O220" s="800">
        <f>N220</f>
        <v>0</v>
      </c>
      <c r="P220" s="358">
        <f t="shared" si="19"/>
        <v>1298</v>
      </c>
      <c r="Q220" s="27">
        <v>0</v>
      </c>
      <c r="R220" s="25">
        <v>0</v>
      </c>
      <c r="S220" s="25">
        <v>0</v>
      </c>
      <c r="T220" s="359"/>
    </row>
    <row r="221" spans="1:20" ht="12.75">
      <c r="A221" s="389">
        <v>832</v>
      </c>
      <c r="B221" s="388" t="s">
        <v>400</v>
      </c>
      <c r="C221" s="389">
        <v>1700</v>
      </c>
      <c r="D221" s="386">
        <v>0</v>
      </c>
      <c r="E221" s="386">
        <v>0</v>
      </c>
      <c r="F221" s="374">
        <f>IF(C221&lt;972,E221+44,E221)</f>
        <v>0</v>
      </c>
      <c r="G221" s="374">
        <v>75</v>
      </c>
      <c r="H221" s="374">
        <v>75</v>
      </c>
      <c r="I221" s="387">
        <f t="shared" si="20"/>
        <v>832</v>
      </c>
      <c r="J221" s="387">
        <v>75</v>
      </c>
      <c r="K221" s="374">
        <v>0</v>
      </c>
      <c r="L221" s="374">
        <v>116</v>
      </c>
      <c r="M221" s="374">
        <v>233</v>
      </c>
      <c r="N221" s="445">
        <f>M221*1.33333</f>
        <v>310.66589</v>
      </c>
      <c r="O221" s="799">
        <f t="shared" si="17"/>
        <v>388.3323625</v>
      </c>
      <c r="P221" s="358">
        <f t="shared" si="19"/>
        <v>2008</v>
      </c>
      <c r="Q221" s="27">
        <v>0</v>
      </c>
      <c r="R221" s="25">
        <v>0</v>
      </c>
      <c r="S221" s="25">
        <v>0</v>
      </c>
      <c r="T221" s="359"/>
    </row>
    <row r="222" spans="1:20" ht="12.75">
      <c r="A222" s="25">
        <v>833</v>
      </c>
      <c r="B222" s="26" t="s">
        <v>226</v>
      </c>
      <c r="C222" s="25">
        <v>971</v>
      </c>
      <c r="D222" s="155">
        <v>170</v>
      </c>
      <c r="E222" s="381">
        <v>216</v>
      </c>
      <c r="F222" s="283">
        <v>261</v>
      </c>
      <c r="G222" s="350">
        <v>327</v>
      </c>
      <c r="H222" s="350">
        <v>350</v>
      </c>
      <c r="I222" s="380">
        <f t="shared" si="20"/>
        <v>833</v>
      </c>
      <c r="J222" s="380">
        <v>414.7</v>
      </c>
      <c r="K222" s="350">
        <v>0</v>
      </c>
      <c r="L222" s="350">
        <v>0</v>
      </c>
      <c r="M222" s="350">
        <v>0</v>
      </c>
      <c r="N222" s="445">
        <f aca="true" t="shared" si="21" ref="N222:N228">M222*1.1</f>
        <v>0</v>
      </c>
      <c r="O222" s="800">
        <f aca="true" t="shared" si="22" ref="O222:O228">N222</f>
        <v>0</v>
      </c>
      <c r="P222" s="358">
        <f t="shared" si="19"/>
        <v>1298</v>
      </c>
      <c r="Q222" s="27">
        <v>0</v>
      </c>
      <c r="R222" s="25">
        <v>0</v>
      </c>
      <c r="S222" s="25">
        <v>155</v>
      </c>
      <c r="T222" s="359"/>
    </row>
    <row r="223" spans="1:20" ht="12.75">
      <c r="A223" s="25">
        <v>834</v>
      </c>
      <c r="B223" s="26" t="s">
        <v>227</v>
      </c>
      <c r="C223" s="25">
        <v>971</v>
      </c>
      <c r="D223" s="155">
        <v>170</v>
      </c>
      <c r="E223" s="381">
        <v>216</v>
      </c>
      <c r="F223" s="283">
        <v>261</v>
      </c>
      <c r="G223" s="350">
        <v>327</v>
      </c>
      <c r="H223" s="350">
        <v>350</v>
      </c>
      <c r="I223" s="380">
        <f t="shared" si="20"/>
        <v>834</v>
      </c>
      <c r="J223" s="380">
        <v>414.7</v>
      </c>
      <c r="K223" s="350">
        <v>0</v>
      </c>
      <c r="L223" s="350">
        <v>0</v>
      </c>
      <c r="M223" s="350">
        <v>0</v>
      </c>
      <c r="N223" s="445">
        <f t="shared" si="21"/>
        <v>0</v>
      </c>
      <c r="O223" s="800">
        <f t="shared" si="22"/>
        <v>0</v>
      </c>
      <c r="P223" s="358">
        <f t="shared" si="19"/>
        <v>1298</v>
      </c>
      <c r="Q223" s="27">
        <v>0</v>
      </c>
      <c r="R223" s="25">
        <v>0</v>
      </c>
      <c r="S223" s="25">
        <v>155</v>
      </c>
      <c r="T223" s="359"/>
    </row>
    <row r="224" spans="1:20" ht="12.75">
      <c r="A224" s="25">
        <v>835</v>
      </c>
      <c r="B224" s="26" t="s">
        <v>228</v>
      </c>
      <c r="C224" s="25">
        <v>971</v>
      </c>
      <c r="D224" s="155">
        <v>170</v>
      </c>
      <c r="E224" s="381">
        <v>216</v>
      </c>
      <c r="F224" s="283">
        <v>261</v>
      </c>
      <c r="G224" s="350">
        <v>327</v>
      </c>
      <c r="H224" s="350">
        <v>350</v>
      </c>
      <c r="I224" s="380">
        <f t="shared" si="20"/>
        <v>835</v>
      </c>
      <c r="J224" s="380">
        <v>414.7</v>
      </c>
      <c r="K224" s="350">
        <v>0</v>
      </c>
      <c r="L224" s="350">
        <v>0</v>
      </c>
      <c r="M224" s="350">
        <v>0</v>
      </c>
      <c r="N224" s="445">
        <f t="shared" si="21"/>
        <v>0</v>
      </c>
      <c r="O224" s="800">
        <f t="shared" si="22"/>
        <v>0</v>
      </c>
      <c r="P224" s="358">
        <f t="shared" si="19"/>
        <v>1298</v>
      </c>
      <c r="Q224" s="27">
        <v>0</v>
      </c>
      <c r="R224" s="25">
        <v>0</v>
      </c>
      <c r="S224" s="25">
        <v>0</v>
      </c>
      <c r="T224" s="359"/>
    </row>
    <row r="225" spans="1:20" ht="12.75">
      <c r="A225" s="25">
        <v>836</v>
      </c>
      <c r="B225" s="26" t="s">
        <v>229</v>
      </c>
      <c r="C225" s="25">
        <v>971</v>
      </c>
      <c r="D225" s="155">
        <v>170</v>
      </c>
      <c r="E225" s="381">
        <v>216</v>
      </c>
      <c r="F225" s="283">
        <v>261</v>
      </c>
      <c r="G225" s="350">
        <v>327</v>
      </c>
      <c r="H225" s="350">
        <v>350</v>
      </c>
      <c r="I225" s="380">
        <f t="shared" si="20"/>
        <v>836</v>
      </c>
      <c r="J225" s="380">
        <v>414.7</v>
      </c>
      <c r="K225" s="350">
        <v>0</v>
      </c>
      <c r="L225" s="350">
        <v>0</v>
      </c>
      <c r="M225" s="350">
        <v>0</v>
      </c>
      <c r="N225" s="445">
        <f t="shared" si="21"/>
        <v>0</v>
      </c>
      <c r="O225" s="800">
        <f t="shared" si="22"/>
        <v>0</v>
      </c>
      <c r="P225" s="358">
        <f t="shared" si="19"/>
        <v>1298</v>
      </c>
      <c r="Q225" s="27">
        <v>0</v>
      </c>
      <c r="R225" s="25">
        <v>0</v>
      </c>
      <c r="S225" s="25">
        <v>155</v>
      </c>
      <c r="T225" s="359"/>
    </row>
    <row r="226" spans="1:20" ht="12.75">
      <c r="A226" s="25">
        <v>837</v>
      </c>
      <c r="B226" s="26" t="s">
        <v>230</v>
      </c>
      <c r="C226" s="25">
        <v>971</v>
      </c>
      <c r="D226" s="155">
        <v>170</v>
      </c>
      <c r="E226" s="381">
        <v>216</v>
      </c>
      <c r="F226" s="283">
        <v>261</v>
      </c>
      <c r="G226" s="350">
        <v>327</v>
      </c>
      <c r="H226" s="350">
        <v>350</v>
      </c>
      <c r="I226" s="380">
        <f t="shared" si="20"/>
        <v>837</v>
      </c>
      <c r="J226" s="380">
        <v>414.7</v>
      </c>
      <c r="K226" s="350">
        <v>0</v>
      </c>
      <c r="L226" s="350">
        <v>0</v>
      </c>
      <c r="M226" s="350">
        <v>0</v>
      </c>
      <c r="N226" s="445">
        <f t="shared" si="21"/>
        <v>0</v>
      </c>
      <c r="O226" s="800">
        <f t="shared" si="22"/>
        <v>0</v>
      </c>
      <c r="P226" s="358">
        <f t="shared" si="19"/>
        <v>1298</v>
      </c>
      <c r="Q226" s="27">
        <v>0</v>
      </c>
      <c r="R226" s="25">
        <v>0</v>
      </c>
      <c r="S226" s="25">
        <v>155</v>
      </c>
      <c r="T226" s="359"/>
    </row>
    <row r="227" spans="1:20" ht="12.75">
      <c r="A227" s="25">
        <v>839</v>
      </c>
      <c r="B227" s="26" t="s">
        <v>231</v>
      </c>
      <c r="C227" s="25">
        <v>971</v>
      </c>
      <c r="D227" s="155">
        <v>170</v>
      </c>
      <c r="E227" s="381">
        <v>216</v>
      </c>
      <c r="F227" s="283">
        <v>261</v>
      </c>
      <c r="G227" s="350">
        <v>327</v>
      </c>
      <c r="H227" s="350">
        <v>350</v>
      </c>
      <c r="I227" s="380">
        <f t="shared" si="20"/>
        <v>839</v>
      </c>
      <c r="J227" s="380">
        <v>414.7</v>
      </c>
      <c r="K227" s="350">
        <v>0</v>
      </c>
      <c r="L227" s="350">
        <v>0</v>
      </c>
      <c r="M227" s="350">
        <v>0</v>
      </c>
      <c r="N227" s="445">
        <f t="shared" si="21"/>
        <v>0</v>
      </c>
      <c r="O227" s="800">
        <f t="shared" si="22"/>
        <v>0</v>
      </c>
      <c r="P227" s="358">
        <f t="shared" si="19"/>
        <v>1298</v>
      </c>
      <c r="Q227" s="27">
        <v>0</v>
      </c>
      <c r="R227" s="25">
        <v>0</v>
      </c>
      <c r="S227" s="25">
        <v>155</v>
      </c>
      <c r="T227" s="359"/>
    </row>
    <row r="228" spans="1:20" ht="12.75">
      <c r="A228" s="25">
        <v>840</v>
      </c>
      <c r="B228" s="26" t="s">
        <v>232</v>
      </c>
      <c r="C228" s="25">
        <v>971</v>
      </c>
      <c r="D228" s="155">
        <v>170</v>
      </c>
      <c r="E228" s="381">
        <v>216</v>
      </c>
      <c r="F228" s="283">
        <v>261</v>
      </c>
      <c r="G228" s="350">
        <v>327</v>
      </c>
      <c r="H228" s="350">
        <v>350</v>
      </c>
      <c r="I228" s="380">
        <f t="shared" si="20"/>
        <v>840</v>
      </c>
      <c r="J228" s="380">
        <v>414.7</v>
      </c>
      <c r="K228" s="350">
        <v>0</v>
      </c>
      <c r="L228" s="350">
        <v>0</v>
      </c>
      <c r="M228" s="350">
        <v>0</v>
      </c>
      <c r="N228" s="445">
        <f t="shared" si="21"/>
        <v>0</v>
      </c>
      <c r="O228" s="800">
        <f t="shared" si="22"/>
        <v>0</v>
      </c>
      <c r="P228" s="358">
        <f t="shared" si="19"/>
        <v>1298</v>
      </c>
      <c r="Q228" s="27">
        <v>0</v>
      </c>
      <c r="R228" s="25">
        <v>0</v>
      </c>
      <c r="S228" s="25">
        <v>155</v>
      </c>
      <c r="T228" s="359"/>
    </row>
    <row r="229" spans="1:20" s="373" customFormat="1" ht="12.75">
      <c r="A229" s="389">
        <v>841</v>
      </c>
      <c r="B229" s="388" t="s">
        <v>401</v>
      </c>
      <c r="C229" s="389">
        <v>1300</v>
      </c>
      <c r="D229" s="386">
        <v>127</v>
      </c>
      <c r="E229" s="386">
        <v>127</v>
      </c>
      <c r="F229" s="374">
        <v>127</v>
      </c>
      <c r="G229" s="374">
        <v>127</v>
      </c>
      <c r="H229" s="374">
        <v>127</v>
      </c>
      <c r="I229" s="387">
        <f t="shared" si="20"/>
        <v>841</v>
      </c>
      <c r="J229" s="387">
        <v>127</v>
      </c>
      <c r="K229" s="374"/>
      <c r="L229" s="374">
        <v>116</v>
      </c>
      <c r="M229" s="374">
        <v>388</v>
      </c>
      <c r="N229" s="445">
        <f>M229</f>
        <v>388</v>
      </c>
      <c r="O229" s="799">
        <f t="shared" si="17"/>
        <v>485</v>
      </c>
      <c r="P229" s="358">
        <f t="shared" si="19"/>
        <v>1815</v>
      </c>
      <c r="Q229" s="391">
        <v>0</v>
      </c>
      <c r="R229" s="389">
        <v>0</v>
      </c>
      <c r="S229" s="389">
        <v>0</v>
      </c>
      <c r="T229" s="392"/>
    </row>
    <row r="230" spans="1:20" ht="12.75">
      <c r="A230" s="25">
        <v>842</v>
      </c>
      <c r="B230" s="26" t="s">
        <v>233</v>
      </c>
      <c r="C230" s="25">
        <v>1500</v>
      </c>
      <c r="D230" s="155">
        <v>101</v>
      </c>
      <c r="E230" s="155">
        <v>101</v>
      </c>
      <c r="F230" s="283">
        <f>IF(C230&lt;972,E230+44,E230)</f>
        <v>101</v>
      </c>
      <c r="G230" s="283">
        <v>101</v>
      </c>
      <c r="H230" s="283">
        <v>101</v>
      </c>
      <c r="I230" s="380">
        <f t="shared" si="20"/>
        <v>842</v>
      </c>
      <c r="J230" s="380">
        <v>101</v>
      </c>
      <c r="K230" s="350">
        <v>0</v>
      </c>
      <c r="L230" s="374">
        <v>194</v>
      </c>
      <c r="M230" s="374">
        <v>388</v>
      </c>
      <c r="N230" s="445">
        <f>M230</f>
        <v>388</v>
      </c>
      <c r="O230" s="799">
        <f t="shared" si="17"/>
        <v>485</v>
      </c>
      <c r="P230" s="358">
        <f t="shared" si="19"/>
        <v>1989</v>
      </c>
      <c r="Q230" s="27">
        <v>0</v>
      </c>
      <c r="R230" s="25">
        <v>0</v>
      </c>
      <c r="S230" s="25">
        <v>0</v>
      </c>
      <c r="T230" s="359"/>
    </row>
    <row r="231" spans="1:20" ht="12.75">
      <c r="A231" s="25">
        <v>843</v>
      </c>
      <c r="B231" s="26" t="s">
        <v>234</v>
      </c>
      <c r="C231" s="25">
        <v>1250</v>
      </c>
      <c r="D231" s="155">
        <v>134</v>
      </c>
      <c r="E231" s="155">
        <v>134</v>
      </c>
      <c r="F231" s="283">
        <f>IF(C231&lt;972,E231+44,E231)</f>
        <v>134</v>
      </c>
      <c r="G231" s="283">
        <v>134</v>
      </c>
      <c r="H231" s="283">
        <v>134</v>
      </c>
      <c r="I231" s="380">
        <f t="shared" si="20"/>
        <v>843</v>
      </c>
      <c r="J231" s="380">
        <v>134</v>
      </c>
      <c r="K231" s="350">
        <v>0</v>
      </c>
      <c r="L231" s="374">
        <v>116</v>
      </c>
      <c r="M231" s="374">
        <v>233</v>
      </c>
      <c r="N231" s="445">
        <f>M231*1.33333</f>
        <v>310.66589</v>
      </c>
      <c r="O231" s="799">
        <f t="shared" si="17"/>
        <v>388.3323625</v>
      </c>
      <c r="P231" s="358">
        <f t="shared" si="19"/>
        <v>1617</v>
      </c>
      <c r="Q231" s="27">
        <v>0</v>
      </c>
      <c r="R231" s="25">
        <v>0</v>
      </c>
      <c r="S231" s="25">
        <v>0</v>
      </c>
      <c r="T231" s="359"/>
    </row>
    <row r="232" spans="1:20" ht="12.75">
      <c r="A232" s="25">
        <v>844</v>
      </c>
      <c r="B232" s="26" t="s">
        <v>235</v>
      </c>
      <c r="C232" s="25">
        <v>1660</v>
      </c>
      <c r="D232" s="155">
        <v>80</v>
      </c>
      <c r="E232" s="155">
        <v>80</v>
      </c>
      <c r="F232" s="283">
        <f>IF(C232&lt;972,E232+44,E232)</f>
        <v>80</v>
      </c>
      <c r="G232" s="283">
        <v>80</v>
      </c>
      <c r="H232" s="283">
        <v>80</v>
      </c>
      <c r="I232" s="380">
        <f t="shared" si="20"/>
        <v>844</v>
      </c>
      <c r="J232" s="380">
        <v>80</v>
      </c>
      <c r="K232" s="350">
        <v>0</v>
      </c>
      <c r="L232" s="350">
        <v>0</v>
      </c>
      <c r="M232" s="350">
        <v>0</v>
      </c>
      <c r="N232" s="445">
        <f>M232</f>
        <v>0</v>
      </c>
      <c r="O232" s="800">
        <f>N232</f>
        <v>0</v>
      </c>
      <c r="P232" s="358">
        <f t="shared" si="19"/>
        <v>1740</v>
      </c>
      <c r="Q232" s="27">
        <v>0</v>
      </c>
      <c r="R232" s="25">
        <v>0</v>
      </c>
      <c r="S232" s="25">
        <v>0</v>
      </c>
      <c r="T232" s="359"/>
    </row>
    <row r="233" spans="1:20" ht="12.75">
      <c r="A233" s="25">
        <v>849</v>
      </c>
      <c r="B233" s="26" t="s">
        <v>236</v>
      </c>
      <c r="C233" s="25">
        <v>971</v>
      </c>
      <c r="D233" s="155">
        <v>170</v>
      </c>
      <c r="E233" s="381">
        <v>216</v>
      </c>
      <c r="F233" s="283">
        <v>261</v>
      </c>
      <c r="G233" s="350">
        <v>327</v>
      </c>
      <c r="H233" s="350">
        <v>350</v>
      </c>
      <c r="I233" s="380">
        <f t="shared" si="20"/>
        <v>849</v>
      </c>
      <c r="J233" s="380">
        <v>414.7</v>
      </c>
      <c r="K233" s="350">
        <v>0</v>
      </c>
      <c r="L233" s="350">
        <v>0</v>
      </c>
      <c r="M233" s="350">
        <v>0</v>
      </c>
      <c r="N233" s="445">
        <f>M233</f>
        <v>0</v>
      </c>
      <c r="O233" s="800">
        <f>N233</f>
        <v>0</v>
      </c>
      <c r="P233" s="358">
        <f t="shared" si="19"/>
        <v>1298</v>
      </c>
      <c r="Q233" s="27">
        <v>0</v>
      </c>
      <c r="R233" s="25">
        <v>0</v>
      </c>
      <c r="S233" s="25">
        <v>0</v>
      </c>
      <c r="T233" s="359"/>
    </row>
    <row r="234" spans="1:20" ht="12.75">
      <c r="A234" s="25">
        <v>850</v>
      </c>
      <c r="B234" s="361" t="s">
        <v>433</v>
      </c>
      <c r="C234" s="25">
        <v>3146</v>
      </c>
      <c r="D234" s="155"/>
      <c r="E234" s="381"/>
      <c r="F234" s="283"/>
      <c r="G234" s="350">
        <v>0</v>
      </c>
      <c r="H234" s="350">
        <v>0</v>
      </c>
      <c r="I234" s="380">
        <f t="shared" si="20"/>
        <v>850</v>
      </c>
      <c r="J234" s="380">
        <v>0</v>
      </c>
      <c r="K234" s="350">
        <v>0</v>
      </c>
      <c r="L234" s="350"/>
      <c r="M234" s="350">
        <v>466</v>
      </c>
      <c r="N234" s="445">
        <f aca="true" t="shared" si="23" ref="N234:N239">M234*1.33333</f>
        <v>621.33178</v>
      </c>
      <c r="O234" s="800">
        <f>N234</f>
        <v>621.33178</v>
      </c>
      <c r="P234" s="358">
        <f t="shared" si="19"/>
        <v>3612</v>
      </c>
      <c r="Q234" s="27">
        <v>0</v>
      </c>
      <c r="R234" s="25">
        <v>0</v>
      </c>
      <c r="S234" s="25"/>
      <c r="T234" s="359"/>
    </row>
    <row r="235" spans="1:20" ht="12.75">
      <c r="A235" s="25">
        <v>851</v>
      </c>
      <c r="B235" s="361" t="s">
        <v>434</v>
      </c>
      <c r="C235" s="25">
        <v>2913</v>
      </c>
      <c r="D235" s="155"/>
      <c r="E235" s="381"/>
      <c r="F235" s="283"/>
      <c r="G235" s="350">
        <v>0</v>
      </c>
      <c r="H235" s="350">
        <v>0</v>
      </c>
      <c r="I235" s="380">
        <f t="shared" si="20"/>
        <v>851</v>
      </c>
      <c r="J235" s="380">
        <v>0</v>
      </c>
      <c r="K235" s="350"/>
      <c r="L235" s="350"/>
      <c r="M235" s="350">
        <v>466</v>
      </c>
      <c r="N235" s="445">
        <f t="shared" si="23"/>
        <v>621.33178</v>
      </c>
      <c r="O235" s="800">
        <f aca="true" t="shared" si="24" ref="O235:O248">N235</f>
        <v>621.33178</v>
      </c>
      <c r="P235" s="358">
        <f t="shared" si="19"/>
        <v>3379</v>
      </c>
      <c r="Q235" s="27">
        <v>20</v>
      </c>
      <c r="R235" s="25">
        <v>0</v>
      </c>
      <c r="S235" s="25">
        <v>0</v>
      </c>
      <c r="T235" s="359"/>
    </row>
    <row r="236" spans="1:20" ht="12.75">
      <c r="A236" s="25">
        <v>852</v>
      </c>
      <c r="B236" s="361" t="s">
        <v>435</v>
      </c>
      <c r="C236" s="25">
        <v>2913</v>
      </c>
      <c r="D236" s="155"/>
      <c r="E236" s="381"/>
      <c r="F236" s="283"/>
      <c r="G236" s="350">
        <v>0</v>
      </c>
      <c r="H236" s="350">
        <v>0</v>
      </c>
      <c r="I236" s="380">
        <f t="shared" si="20"/>
        <v>852</v>
      </c>
      <c r="J236" s="380">
        <v>0</v>
      </c>
      <c r="K236" s="350"/>
      <c r="L236" s="350"/>
      <c r="M236" s="350">
        <v>466</v>
      </c>
      <c r="N236" s="445">
        <f t="shared" si="23"/>
        <v>621.33178</v>
      </c>
      <c r="O236" s="800">
        <f t="shared" si="24"/>
        <v>621.33178</v>
      </c>
      <c r="P236" s="358">
        <f t="shared" si="19"/>
        <v>3379</v>
      </c>
      <c r="Q236" s="27">
        <v>0</v>
      </c>
      <c r="R236" s="25">
        <v>0</v>
      </c>
      <c r="S236" s="25">
        <v>0</v>
      </c>
      <c r="T236" s="359"/>
    </row>
    <row r="237" spans="1:20" ht="12.75">
      <c r="A237" s="25">
        <v>853</v>
      </c>
      <c r="B237" s="361" t="s">
        <v>436</v>
      </c>
      <c r="C237" s="25">
        <v>2913</v>
      </c>
      <c r="D237" s="155"/>
      <c r="E237" s="381"/>
      <c r="F237" s="283"/>
      <c r="G237" s="350">
        <v>0</v>
      </c>
      <c r="H237" s="350">
        <v>0</v>
      </c>
      <c r="I237" s="380">
        <f t="shared" si="20"/>
        <v>853</v>
      </c>
      <c r="J237" s="380">
        <v>0</v>
      </c>
      <c r="K237" s="350"/>
      <c r="L237" s="350"/>
      <c r="M237" s="350">
        <v>466</v>
      </c>
      <c r="N237" s="445">
        <f t="shared" si="23"/>
        <v>621.33178</v>
      </c>
      <c r="O237" s="800">
        <f t="shared" si="24"/>
        <v>621.33178</v>
      </c>
      <c r="P237" s="358">
        <f t="shared" si="19"/>
        <v>3379</v>
      </c>
      <c r="Q237" s="27">
        <v>17</v>
      </c>
      <c r="R237" s="25">
        <v>0</v>
      </c>
      <c r="S237" s="25">
        <v>0</v>
      </c>
      <c r="T237" s="359"/>
    </row>
    <row r="238" spans="1:20" ht="12.75">
      <c r="A238" s="25">
        <v>854</v>
      </c>
      <c r="B238" s="361" t="s">
        <v>437</v>
      </c>
      <c r="C238" s="25">
        <v>2913</v>
      </c>
      <c r="D238" s="155"/>
      <c r="E238" s="381"/>
      <c r="F238" s="283"/>
      <c r="G238" s="350">
        <v>0</v>
      </c>
      <c r="H238" s="350">
        <v>0</v>
      </c>
      <c r="I238" s="380">
        <f t="shared" si="20"/>
        <v>854</v>
      </c>
      <c r="J238" s="380">
        <v>0</v>
      </c>
      <c r="K238" s="350"/>
      <c r="L238" s="350"/>
      <c r="M238" s="350">
        <v>466</v>
      </c>
      <c r="N238" s="445">
        <f t="shared" si="23"/>
        <v>621.33178</v>
      </c>
      <c r="O238" s="800">
        <f t="shared" si="24"/>
        <v>621.33178</v>
      </c>
      <c r="P238" s="358">
        <f t="shared" si="19"/>
        <v>3379</v>
      </c>
      <c r="Q238" s="27">
        <v>0</v>
      </c>
      <c r="R238" s="25">
        <v>0</v>
      </c>
      <c r="S238" s="25">
        <v>0</v>
      </c>
      <c r="T238" s="359"/>
    </row>
    <row r="239" spans="1:20" ht="12.75">
      <c r="A239" s="25">
        <v>857</v>
      </c>
      <c r="B239" s="361" t="s">
        <v>438</v>
      </c>
      <c r="C239" s="25">
        <v>2913</v>
      </c>
      <c r="D239" s="155"/>
      <c r="E239" s="381"/>
      <c r="F239" s="283"/>
      <c r="G239" s="350">
        <v>0</v>
      </c>
      <c r="H239" s="350">
        <v>0</v>
      </c>
      <c r="I239" s="380">
        <f t="shared" si="20"/>
        <v>857</v>
      </c>
      <c r="J239" s="380">
        <v>0</v>
      </c>
      <c r="K239" s="350"/>
      <c r="L239" s="350"/>
      <c r="M239" s="350">
        <v>466</v>
      </c>
      <c r="N239" s="445">
        <f t="shared" si="23"/>
        <v>621.33178</v>
      </c>
      <c r="O239" s="800">
        <f t="shared" si="24"/>
        <v>621.33178</v>
      </c>
      <c r="P239" s="358">
        <f t="shared" si="19"/>
        <v>3379</v>
      </c>
      <c r="Q239" s="27">
        <v>0</v>
      </c>
      <c r="R239" s="25">
        <v>0</v>
      </c>
      <c r="S239" s="25">
        <v>0</v>
      </c>
      <c r="T239" s="359"/>
    </row>
    <row r="240" spans="1:19" ht="12.75">
      <c r="A240" s="25">
        <v>883</v>
      </c>
      <c r="B240" s="361" t="s">
        <v>408</v>
      </c>
      <c r="C240" s="25">
        <v>2220</v>
      </c>
      <c r="D240" s="155"/>
      <c r="E240" s="381"/>
      <c r="F240" s="283"/>
      <c r="G240" s="350">
        <v>7</v>
      </c>
      <c r="H240" s="350">
        <v>7</v>
      </c>
      <c r="I240" s="380">
        <f t="shared" si="20"/>
        <v>883</v>
      </c>
      <c r="J240" s="380">
        <v>7</v>
      </c>
      <c r="K240" s="350"/>
      <c r="L240" s="350"/>
      <c r="M240" s="359">
        <v>521.4</v>
      </c>
      <c r="N240" s="445">
        <f>M240</f>
        <v>521.4</v>
      </c>
      <c r="O240" s="800">
        <f t="shared" si="24"/>
        <v>521.4</v>
      </c>
      <c r="P240" s="358">
        <f t="shared" si="19"/>
        <v>2748.4</v>
      </c>
      <c r="Q240" s="27">
        <v>0</v>
      </c>
      <c r="R240" s="25">
        <v>0</v>
      </c>
      <c r="S240" s="25">
        <v>0</v>
      </c>
    </row>
    <row r="241" spans="1:19" ht="12.75">
      <c r="A241" s="25">
        <v>885</v>
      </c>
      <c r="B241" s="361" t="s">
        <v>439</v>
      </c>
      <c r="C241" s="25">
        <v>1850</v>
      </c>
      <c r="D241" s="155"/>
      <c r="E241" s="381"/>
      <c r="F241" s="283"/>
      <c r="G241" s="350">
        <v>55</v>
      </c>
      <c r="H241" s="350">
        <v>55</v>
      </c>
      <c r="I241" s="380">
        <f t="shared" si="20"/>
        <v>885</v>
      </c>
      <c r="J241" s="380">
        <v>55</v>
      </c>
      <c r="K241" s="350"/>
      <c r="L241" s="350"/>
      <c r="M241" s="359">
        <v>434.5</v>
      </c>
      <c r="N241" s="445">
        <f>M241</f>
        <v>434.5</v>
      </c>
      <c r="O241" s="800">
        <f t="shared" si="24"/>
        <v>434.5</v>
      </c>
      <c r="P241" s="358">
        <f t="shared" si="19"/>
        <v>2339.5</v>
      </c>
      <c r="Q241" s="27">
        <v>0</v>
      </c>
      <c r="R241" s="25">
        <v>0</v>
      </c>
      <c r="S241" s="25"/>
    </row>
    <row r="242" spans="1:19" ht="12.75">
      <c r="A242" s="25">
        <v>887</v>
      </c>
      <c r="B242" s="361" t="s">
        <v>409</v>
      </c>
      <c r="C242" s="25">
        <v>1580</v>
      </c>
      <c r="D242" s="155"/>
      <c r="E242" s="381"/>
      <c r="F242" s="283"/>
      <c r="G242" s="350">
        <v>90</v>
      </c>
      <c r="H242" s="350">
        <v>90</v>
      </c>
      <c r="I242" s="380">
        <f t="shared" si="20"/>
        <v>887</v>
      </c>
      <c r="J242" s="380">
        <v>90</v>
      </c>
      <c r="K242" s="350"/>
      <c r="L242" s="350"/>
      <c r="M242" s="359">
        <v>347.6</v>
      </c>
      <c r="N242" s="445">
        <f>M242</f>
        <v>347.6</v>
      </c>
      <c r="O242" s="800">
        <f t="shared" si="24"/>
        <v>347.6</v>
      </c>
      <c r="P242" s="358">
        <f t="shared" si="19"/>
        <v>2017.6</v>
      </c>
      <c r="Q242" s="27">
        <v>0</v>
      </c>
      <c r="R242" s="25">
        <v>0</v>
      </c>
      <c r="S242" s="25">
        <v>0</v>
      </c>
    </row>
    <row r="243" spans="1:20" ht="12.75">
      <c r="A243" s="25">
        <v>900</v>
      </c>
      <c r="B243" s="26" t="s">
        <v>237</v>
      </c>
      <c r="C243" s="25">
        <v>3146</v>
      </c>
      <c r="D243" s="155">
        <v>0</v>
      </c>
      <c r="E243" s="155">
        <v>0</v>
      </c>
      <c r="F243" s="283">
        <f aca="true" t="shared" si="25" ref="F243:F259">IF(C243&lt;972,E243+44,E243)</f>
        <v>0</v>
      </c>
      <c r="G243" s="283">
        <v>0</v>
      </c>
      <c r="H243" s="283">
        <v>0</v>
      </c>
      <c r="I243" s="380">
        <f t="shared" si="20"/>
        <v>900</v>
      </c>
      <c r="J243" s="380">
        <v>0</v>
      </c>
      <c r="K243" s="350">
        <v>0</v>
      </c>
      <c r="L243" s="350">
        <v>0</v>
      </c>
      <c r="M243" s="350">
        <v>0</v>
      </c>
      <c r="N243" s="445">
        <f>M243</f>
        <v>0</v>
      </c>
      <c r="O243" s="800">
        <f t="shared" si="24"/>
        <v>0</v>
      </c>
      <c r="P243" s="358">
        <f t="shared" si="19"/>
        <v>3146</v>
      </c>
      <c r="Q243" s="27">
        <v>0</v>
      </c>
      <c r="R243" s="25">
        <v>0</v>
      </c>
      <c r="S243" s="25">
        <v>0</v>
      </c>
      <c r="T243" s="359"/>
    </row>
    <row r="244" spans="1:20" ht="12.75">
      <c r="A244" s="25">
        <v>901</v>
      </c>
      <c r="B244" s="26" t="s">
        <v>238</v>
      </c>
      <c r="C244" s="25">
        <v>2913</v>
      </c>
      <c r="D244" s="155">
        <v>0</v>
      </c>
      <c r="E244" s="155">
        <v>0</v>
      </c>
      <c r="F244" s="283">
        <f t="shared" si="25"/>
        <v>0</v>
      </c>
      <c r="G244" s="283">
        <v>0</v>
      </c>
      <c r="H244" s="283">
        <v>0</v>
      </c>
      <c r="I244" s="380">
        <f t="shared" si="20"/>
        <v>901</v>
      </c>
      <c r="J244" s="380">
        <v>0</v>
      </c>
      <c r="K244" s="350">
        <v>0</v>
      </c>
      <c r="L244" s="350">
        <v>0</v>
      </c>
      <c r="M244" s="350">
        <v>0</v>
      </c>
      <c r="N244" s="445">
        <f>M244</f>
        <v>0</v>
      </c>
      <c r="O244" s="800">
        <f t="shared" si="24"/>
        <v>0</v>
      </c>
      <c r="P244" s="358">
        <f t="shared" si="19"/>
        <v>2913</v>
      </c>
      <c r="Q244" s="27">
        <v>0</v>
      </c>
      <c r="R244" s="25">
        <v>0</v>
      </c>
      <c r="S244" s="25">
        <v>0</v>
      </c>
      <c r="T244" s="359"/>
    </row>
    <row r="245" spans="1:20" ht="12.75">
      <c r="A245" s="25">
        <v>902</v>
      </c>
      <c r="B245" s="26" t="s">
        <v>239</v>
      </c>
      <c r="C245" s="25">
        <v>2913</v>
      </c>
      <c r="D245" s="155">
        <v>0</v>
      </c>
      <c r="E245" s="155">
        <v>0</v>
      </c>
      <c r="F245" s="283">
        <f t="shared" si="25"/>
        <v>0</v>
      </c>
      <c r="G245" s="283">
        <v>0</v>
      </c>
      <c r="H245" s="283">
        <v>0</v>
      </c>
      <c r="I245" s="380">
        <f t="shared" si="20"/>
        <v>902</v>
      </c>
      <c r="J245" s="380">
        <v>0</v>
      </c>
      <c r="K245" s="350">
        <v>0</v>
      </c>
      <c r="L245">
        <v>233</v>
      </c>
      <c r="M245">
        <v>466</v>
      </c>
      <c r="N245" s="445">
        <f>M245*1.33333</f>
        <v>621.33178</v>
      </c>
      <c r="O245" s="800">
        <f t="shared" si="24"/>
        <v>621.33178</v>
      </c>
      <c r="P245" s="358">
        <f t="shared" si="19"/>
        <v>3379</v>
      </c>
      <c r="Q245" s="27">
        <v>20</v>
      </c>
      <c r="R245" s="25">
        <v>0</v>
      </c>
      <c r="S245" s="25">
        <v>0</v>
      </c>
      <c r="T245" s="359"/>
    </row>
    <row r="246" spans="1:20" ht="12.75">
      <c r="A246" s="25">
        <v>903</v>
      </c>
      <c r="B246" s="26" t="s">
        <v>240</v>
      </c>
      <c r="C246" s="25">
        <v>2913</v>
      </c>
      <c r="D246" s="155">
        <v>0</v>
      </c>
      <c r="E246" s="155">
        <v>0</v>
      </c>
      <c r="F246" s="283">
        <f t="shared" si="25"/>
        <v>0</v>
      </c>
      <c r="G246" s="283">
        <v>0</v>
      </c>
      <c r="H246" s="283">
        <v>0</v>
      </c>
      <c r="I246" s="380">
        <f t="shared" si="20"/>
        <v>903</v>
      </c>
      <c r="J246" s="380">
        <v>0</v>
      </c>
      <c r="K246" s="350">
        <v>0</v>
      </c>
      <c r="L246">
        <v>233</v>
      </c>
      <c r="M246">
        <v>466</v>
      </c>
      <c r="N246" s="445">
        <f>M246*1.33333</f>
        <v>621.33178</v>
      </c>
      <c r="O246" s="800">
        <f t="shared" si="24"/>
        <v>621.33178</v>
      </c>
      <c r="P246" s="358">
        <f t="shared" si="19"/>
        <v>3379</v>
      </c>
      <c r="Q246" s="27">
        <v>0</v>
      </c>
      <c r="R246" s="25">
        <v>0</v>
      </c>
      <c r="S246" s="25">
        <v>0</v>
      </c>
      <c r="T246" s="359"/>
    </row>
    <row r="247" spans="1:20" ht="12.75">
      <c r="A247" s="25">
        <v>904</v>
      </c>
      <c r="B247" s="26" t="s">
        <v>241</v>
      </c>
      <c r="C247" s="25">
        <v>2100</v>
      </c>
      <c r="D247" s="155">
        <v>23</v>
      </c>
      <c r="E247" s="155">
        <v>23</v>
      </c>
      <c r="F247" s="283">
        <f t="shared" si="25"/>
        <v>23</v>
      </c>
      <c r="G247" s="283">
        <v>23</v>
      </c>
      <c r="H247" s="283">
        <v>23</v>
      </c>
      <c r="I247" s="380">
        <f t="shared" si="20"/>
        <v>904</v>
      </c>
      <c r="J247" s="380">
        <v>23</v>
      </c>
      <c r="K247" s="350">
        <v>0</v>
      </c>
      <c r="L247" s="350">
        <v>0</v>
      </c>
      <c r="M247" s="350">
        <v>0</v>
      </c>
      <c r="N247" s="445">
        <f>M247</f>
        <v>0</v>
      </c>
      <c r="O247" s="800">
        <f t="shared" si="24"/>
        <v>0</v>
      </c>
      <c r="P247" s="358">
        <f t="shared" si="19"/>
        <v>2123</v>
      </c>
      <c r="Q247" s="27">
        <v>0</v>
      </c>
      <c r="R247" s="25">
        <v>0</v>
      </c>
      <c r="S247" s="25">
        <v>0</v>
      </c>
      <c r="T247" s="359"/>
    </row>
    <row r="248" spans="1:20" ht="12.75">
      <c r="A248" s="25">
        <v>905</v>
      </c>
      <c r="B248" s="26" t="s">
        <v>242</v>
      </c>
      <c r="C248" s="25">
        <v>1800</v>
      </c>
      <c r="D248" s="155">
        <v>62</v>
      </c>
      <c r="E248" s="155">
        <v>62</v>
      </c>
      <c r="F248" s="283">
        <f t="shared" si="25"/>
        <v>62</v>
      </c>
      <c r="G248" s="283">
        <v>62</v>
      </c>
      <c r="H248" s="283">
        <v>62</v>
      </c>
      <c r="I248" s="380">
        <f t="shared" si="20"/>
        <v>905</v>
      </c>
      <c r="J248" s="380">
        <v>62</v>
      </c>
      <c r="K248" s="350">
        <v>0</v>
      </c>
      <c r="L248" s="350">
        <v>0</v>
      </c>
      <c r="M248" s="350">
        <v>0</v>
      </c>
      <c r="N248" s="445">
        <f>M248</f>
        <v>0</v>
      </c>
      <c r="O248" s="800">
        <f t="shared" si="24"/>
        <v>0</v>
      </c>
      <c r="P248" s="358">
        <f t="shared" si="19"/>
        <v>1862</v>
      </c>
      <c r="Q248" s="27">
        <v>0</v>
      </c>
      <c r="R248" s="25">
        <v>0</v>
      </c>
      <c r="S248" s="25">
        <v>0</v>
      </c>
      <c r="T248" s="359"/>
    </row>
    <row r="249" spans="1:20" ht="12.75">
      <c r="A249" s="25">
        <v>906</v>
      </c>
      <c r="B249" s="26" t="s">
        <v>243</v>
      </c>
      <c r="C249" s="25">
        <v>1942</v>
      </c>
      <c r="D249" s="155">
        <v>43</v>
      </c>
      <c r="E249" s="155">
        <v>43</v>
      </c>
      <c r="F249" s="283">
        <f t="shared" si="25"/>
        <v>43</v>
      </c>
      <c r="G249" s="283">
        <v>43</v>
      </c>
      <c r="H249" s="283">
        <v>43</v>
      </c>
      <c r="I249" s="380">
        <f t="shared" si="20"/>
        <v>906</v>
      </c>
      <c r="J249" s="380">
        <v>43</v>
      </c>
      <c r="K249" s="350">
        <v>0</v>
      </c>
      <c r="L249" s="350">
        <v>194</v>
      </c>
      <c r="M249" s="350">
        <v>388</v>
      </c>
      <c r="N249" s="445">
        <f aca="true" t="shared" si="26" ref="N249:N259">M249*1.33333</f>
        <v>517.33204</v>
      </c>
      <c r="O249" s="799">
        <f aca="true" t="shared" si="27" ref="O249:O272">N249*1.25</f>
        <v>646.6650500000001</v>
      </c>
      <c r="P249" s="358">
        <f t="shared" si="19"/>
        <v>2373</v>
      </c>
      <c r="Q249" s="27">
        <v>0</v>
      </c>
      <c r="R249" s="25">
        <v>0</v>
      </c>
      <c r="S249" s="25">
        <v>0</v>
      </c>
      <c r="T249" s="367">
        <v>782</v>
      </c>
    </row>
    <row r="250" spans="1:20" ht="12.75">
      <c r="A250" s="25">
        <v>907</v>
      </c>
      <c r="B250" s="26" t="s">
        <v>244</v>
      </c>
      <c r="C250" s="25">
        <v>1782</v>
      </c>
      <c r="D250" s="155">
        <v>64</v>
      </c>
      <c r="E250" s="155">
        <v>64</v>
      </c>
      <c r="F250" s="283">
        <f t="shared" si="25"/>
        <v>64</v>
      </c>
      <c r="G250" s="283">
        <v>64</v>
      </c>
      <c r="H250" s="283">
        <v>64</v>
      </c>
      <c r="I250" s="380">
        <f t="shared" si="20"/>
        <v>907</v>
      </c>
      <c r="J250" s="380">
        <v>64</v>
      </c>
      <c r="K250" s="350">
        <v>0</v>
      </c>
      <c r="L250" s="350">
        <v>175</v>
      </c>
      <c r="M250" s="350">
        <v>349</v>
      </c>
      <c r="N250" s="445">
        <f t="shared" si="26"/>
        <v>465.33216999999996</v>
      </c>
      <c r="O250" s="799">
        <f t="shared" si="27"/>
        <v>581.6652124999999</v>
      </c>
      <c r="P250" s="358">
        <f t="shared" si="19"/>
        <v>2195</v>
      </c>
      <c r="Q250" s="27">
        <v>0</v>
      </c>
      <c r="R250" s="25">
        <v>0</v>
      </c>
      <c r="S250" s="25">
        <v>0</v>
      </c>
      <c r="T250" s="367">
        <v>782</v>
      </c>
    </row>
    <row r="251" spans="1:20" ht="12.75">
      <c r="A251" s="25">
        <v>908</v>
      </c>
      <c r="B251" s="26" t="s">
        <v>245</v>
      </c>
      <c r="C251" s="25">
        <v>1692</v>
      </c>
      <c r="D251" s="155">
        <v>76</v>
      </c>
      <c r="E251" s="155">
        <v>76</v>
      </c>
      <c r="F251" s="283">
        <f t="shared" si="25"/>
        <v>76</v>
      </c>
      <c r="G251" s="283">
        <v>76</v>
      </c>
      <c r="H251" s="283">
        <v>76</v>
      </c>
      <c r="I251" s="380">
        <f t="shared" si="20"/>
        <v>908</v>
      </c>
      <c r="J251" s="380">
        <v>76</v>
      </c>
      <c r="K251" s="350">
        <v>0</v>
      </c>
      <c r="L251" s="352">
        <v>136</v>
      </c>
      <c r="M251" s="352">
        <v>272</v>
      </c>
      <c r="N251" s="445">
        <f t="shared" si="26"/>
        <v>362.66576</v>
      </c>
      <c r="O251" s="799">
        <f t="shared" si="27"/>
        <v>453.33219999999994</v>
      </c>
      <c r="P251" s="358">
        <f t="shared" si="19"/>
        <v>2040</v>
      </c>
      <c r="Q251" s="27">
        <v>0</v>
      </c>
      <c r="R251" s="25">
        <v>0</v>
      </c>
      <c r="S251" s="25">
        <v>0</v>
      </c>
      <c r="T251" s="359"/>
    </row>
    <row r="252" spans="1:20" ht="12.75">
      <c r="A252" s="25">
        <v>909</v>
      </c>
      <c r="B252" s="26" t="s">
        <v>246</v>
      </c>
      <c r="C252" s="25">
        <v>1592</v>
      </c>
      <c r="D252" s="155">
        <v>89</v>
      </c>
      <c r="E252" s="155">
        <v>89</v>
      </c>
      <c r="F252" s="283">
        <f t="shared" si="25"/>
        <v>89</v>
      </c>
      <c r="G252" s="283">
        <v>89</v>
      </c>
      <c r="H252" s="283">
        <v>89</v>
      </c>
      <c r="I252" s="380">
        <f t="shared" si="20"/>
        <v>909</v>
      </c>
      <c r="J252" s="380">
        <v>89</v>
      </c>
      <c r="K252" s="350">
        <v>0</v>
      </c>
      <c r="L252" s="350">
        <v>0</v>
      </c>
      <c r="M252" s="350">
        <v>349</v>
      </c>
      <c r="N252" s="445">
        <f t="shared" si="26"/>
        <v>465.33216999999996</v>
      </c>
      <c r="O252" s="799">
        <f t="shared" si="27"/>
        <v>581.6652124999999</v>
      </c>
      <c r="P252" s="358">
        <f t="shared" si="19"/>
        <v>2030</v>
      </c>
      <c r="Q252" s="27">
        <v>0</v>
      </c>
      <c r="R252" s="25">
        <v>0</v>
      </c>
      <c r="S252" s="25">
        <v>0</v>
      </c>
      <c r="T252" s="359"/>
    </row>
    <row r="253" spans="1:20" ht="12.75">
      <c r="A253" s="25">
        <v>910</v>
      </c>
      <c r="B253" s="26" t="s">
        <v>138</v>
      </c>
      <c r="C253" s="25">
        <v>1942</v>
      </c>
      <c r="D253" s="155">
        <v>43</v>
      </c>
      <c r="E253" s="155">
        <v>43</v>
      </c>
      <c r="F253" s="283">
        <f t="shared" si="25"/>
        <v>43</v>
      </c>
      <c r="G253" s="283">
        <v>43</v>
      </c>
      <c r="H253" s="283">
        <v>43</v>
      </c>
      <c r="I253" s="380">
        <f t="shared" si="20"/>
        <v>910</v>
      </c>
      <c r="J253" s="380">
        <v>43</v>
      </c>
      <c r="K253" s="350">
        <v>0</v>
      </c>
      <c r="L253" s="350">
        <v>194</v>
      </c>
      <c r="M253" s="350">
        <v>388</v>
      </c>
      <c r="N253" s="445">
        <f t="shared" si="26"/>
        <v>517.33204</v>
      </c>
      <c r="O253" s="799">
        <f t="shared" si="27"/>
        <v>646.6650500000001</v>
      </c>
      <c r="P253" s="358">
        <f t="shared" si="19"/>
        <v>2373</v>
      </c>
      <c r="Q253" s="27">
        <v>150</v>
      </c>
      <c r="R253" s="25">
        <v>0</v>
      </c>
      <c r="S253" s="25">
        <v>0</v>
      </c>
      <c r="T253" s="359"/>
    </row>
    <row r="254" spans="1:20" ht="12.75">
      <c r="A254" s="25">
        <v>911</v>
      </c>
      <c r="B254" s="26" t="s">
        <v>148</v>
      </c>
      <c r="C254" s="25">
        <v>1592</v>
      </c>
      <c r="D254" s="155">
        <v>89</v>
      </c>
      <c r="E254" s="155">
        <v>89</v>
      </c>
      <c r="F254" s="283">
        <f t="shared" si="25"/>
        <v>89</v>
      </c>
      <c r="G254" s="283">
        <v>89</v>
      </c>
      <c r="H254" s="283">
        <v>89</v>
      </c>
      <c r="I254" s="380">
        <f t="shared" si="20"/>
        <v>911</v>
      </c>
      <c r="J254" s="380">
        <v>89</v>
      </c>
      <c r="K254" s="350">
        <v>0</v>
      </c>
      <c r="L254" s="350">
        <v>136</v>
      </c>
      <c r="M254" s="350">
        <v>350</v>
      </c>
      <c r="N254" s="445">
        <f t="shared" si="26"/>
        <v>466.66549999999995</v>
      </c>
      <c r="O254" s="799">
        <f t="shared" si="27"/>
        <v>583.331875</v>
      </c>
      <c r="P254" s="358">
        <f t="shared" si="19"/>
        <v>2031</v>
      </c>
      <c r="Q254" s="27">
        <v>0</v>
      </c>
      <c r="R254" s="25">
        <v>0</v>
      </c>
      <c r="S254" s="25">
        <v>0</v>
      </c>
      <c r="T254" s="359"/>
    </row>
    <row r="255" spans="1:20" ht="12.75">
      <c r="A255" s="25">
        <v>912</v>
      </c>
      <c r="B255" s="26" t="s">
        <v>247</v>
      </c>
      <c r="C255" s="25">
        <v>1782</v>
      </c>
      <c r="D255" s="155">
        <v>64</v>
      </c>
      <c r="E255" s="155">
        <v>64</v>
      </c>
      <c r="F255" s="283">
        <f t="shared" si="25"/>
        <v>64</v>
      </c>
      <c r="G255" s="283">
        <v>64</v>
      </c>
      <c r="H255" s="283">
        <v>64</v>
      </c>
      <c r="I255" s="380">
        <f t="shared" si="20"/>
        <v>912</v>
      </c>
      <c r="J255" s="380">
        <v>64</v>
      </c>
      <c r="K255" s="350">
        <v>0</v>
      </c>
      <c r="L255" s="350">
        <v>175</v>
      </c>
      <c r="M255" s="350">
        <v>349</v>
      </c>
      <c r="N255" s="445">
        <f t="shared" si="26"/>
        <v>465.33216999999996</v>
      </c>
      <c r="O255" s="799">
        <f t="shared" si="27"/>
        <v>581.6652124999999</v>
      </c>
      <c r="P255" s="358">
        <f t="shared" si="19"/>
        <v>2195</v>
      </c>
      <c r="Q255" s="27">
        <v>17</v>
      </c>
      <c r="R255" s="25">
        <v>0</v>
      </c>
      <c r="S255" s="25">
        <v>0</v>
      </c>
      <c r="T255" s="359"/>
    </row>
    <row r="256" spans="1:20" ht="12.75">
      <c r="A256" s="25">
        <v>913</v>
      </c>
      <c r="B256" s="26" t="s">
        <v>248</v>
      </c>
      <c r="C256" s="25">
        <v>1700</v>
      </c>
      <c r="D256" s="155">
        <v>75</v>
      </c>
      <c r="E256" s="155">
        <v>75</v>
      </c>
      <c r="F256" s="283">
        <f t="shared" si="25"/>
        <v>75</v>
      </c>
      <c r="G256" s="283">
        <v>75</v>
      </c>
      <c r="H256" s="283">
        <v>75</v>
      </c>
      <c r="I256" s="380">
        <f t="shared" si="20"/>
        <v>913</v>
      </c>
      <c r="J256" s="380">
        <v>75</v>
      </c>
      <c r="K256" s="350">
        <v>0</v>
      </c>
      <c r="L256" s="350">
        <v>155</v>
      </c>
      <c r="M256" s="350">
        <v>310</v>
      </c>
      <c r="N256" s="445">
        <f t="shared" si="26"/>
        <v>413.3323</v>
      </c>
      <c r="O256" s="799">
        <f t="shared" si="27"/>
        <v>516.6653749999999</v>
      </c>
      <c r="P256" s="358">
        <f t="shared" si="19"/>
        <v>2085</v>
      </c>
      <c r="Q256" s="27">
        <v>0</v>
      </c>
      <c r="R256" s="25">
        <v>0</v>
      </c>
      <c r="S256" s="25">
        <v>0</v>
      </c>
      <c r="T256" s="367">
        <v>769</v>
      </c>
    </row>
    <row r="257" spans="1:20" ht="12.75">
      <c r="A257" s="25">
        <v>914</v>
      </c>
      <c r="B257" s="26" t="s">
        <v>249</v>
      </c>
      <c r="C257" s="25">
        <v>1600</v>
      </c>
      <c r="D257" s="155">
        <v>88</v>
      </c>
      <c r="E257" s="155">
        <v>88</v>
      </c>
      <c r="F257" s="283">
        <f t="shared" si="25"/>
        <v>88</v>
      </c>
      <c r="G257" s="283">
        <v>88</v>
      </c>
      <c r="H257" s="283">
        <v>88</v>
      </c>
      <c r="I257" s="380">
        <f t="shared" si="20"/>
        <v>914</v>
      </c>
      <c r="J257" s="380">
        <v>88</v>
      </c>
      <c r="K257" s="350">
        <v>0</v>
      </c>
      <c r="L257" s="350">
        <v>116</v>
      </c>
      <c r="M257" s="350">
        <v>232</v>
      </c>
      <c r="N257" s="445">
        <f t="shared" si="26"/>
        <v>309.33256</v>
      </c>
      <c r="O257" s="799">
        <f t="shared" si="27"/>
        <v>386.6657</v>
      </c>
      <c r="P257" s="358">
        <f t="shared" si="19"/>
        <v>1920</v>
      </c>
      <c r="Q257" s="27">
        <v>0</v>
      </c>
      <c r="R257" s="25">
        <v>0</v>
      </c>
      <c r="S257" s="25">
        <v>0</v>
      </c>
      <c r="T257" s="367">
        <v>738</v>
      </c>
    </row>
    <row r="258" spans="1:20" ht="12.75">
      <c r="A258" s="25">
        <v>915</v>
      </c>
      <c r="B258" s="26" t="s">
        <v>250</v>
      </c>
      <c r="C258" s="25">
        <v>1700</v>
      </c>
      <c r="D258" s="155">
        <v>75</v>
      </c>
      <c r="E258" s="155">
        <v>75</v>
      </c>
      <c r="F258" s="283">
        <f t="shared" si="25"/>
        <v>75</v>
      </c>
      <c r="G258" s="283">
        <v>75</v>
      </c>
      <c r="H258" s="283">
        <v>75</v>
      </c>
      <c r="I258" s="380">
        <f t="shared" si="20"/>
        <v>915</v>
      </c>
      <c r="J258" s="380">
        <v>75</v>
      </c>
      <c r="K258" s="350">
        <v>0</v>
      </c>
      <c r="L258" s="350">
        <v>155</v>
      </c>
      <c r="M258" s="350">
        <v>233</v>
      </c>
      <c r="N258" s="445">
        <f t="shared" si="26"/>
        <v>310.66589</v>
      </c>
      <c r="O258" s="799">
        <f t="shared" si="27"/>
        <v>388.3323625</v>
      </c>
      <c r="P258" s="358">
        <f t="shared" si="19"/>
        <v>2008</v>
      </c>
      <c r="Q258" s="27">
        <v>150</v>
      </c>
      <c r="R258" s="25">
        <v>0</v>
      </c>
      <c r="S258" s="25">
        <v>0</v>
      </c>
      <c r="T258" s="359"/>
    </row>
    <row r="259" spans="1:20" ht="12.75">
      <c r="A259" s="25">
        <v>916</v>
      </c>
      <c r="B259" s="26" t="s">
        <v>251</v>
      </c>
      <c r="C259" s="25">
        <v>1300</v>
      </c>
      <c r="D259" s="155">
        <v>127</v>
      </c>
      <c r="E259" s="155">
        <v>127</v>
      </c>
      <c r="F259" s="283">
        <f t="shared" si="25"/>
        <v>127</v>
      </c>
      <c r="G259" s="283">
        <v>127</v>
      </c>
      <c r="H259" s="283">
        <v>127</v>
      </c>
      <c r="I259" s="380">
        <f t="shared" si="20"/>
        <v>916</v>
      </c>
      <c r="J259" s="380">
        <v>127</v>
      </c>
      <c r="K259" s="350">
        <v>0</v>
      </c>
      <c r="L259" s="350">
        <v>116</v>
      </c>
      <c r="M259" s="350">
        <v>233</v>
      </c>
      <c r="N259" s="445">
        <f t="shared" si="26"/>
        <v>310.66589</v>
      </c>
      <c r="O259" s="799">
        <f t="shared" si="27"/>
        <v>388.3323625</v>
      </c>
      <c r="P259" s="358">
        <f t="shared" si="19"/>
        <v>1660</v>
      </c>
      <c r="Q259" s="27">
        <v>0</v>
      </c>
      <c r="R259" s="25">
        <v>0</v>
      </c>
      <c r="S259" s="25">
        <v>0</v>
      </c>
      <c r="T259" s="359"/>
    </row>
    <row r="260" spans="1:20" ht="12.75">
      <c r="A260" s="25">
        <v>917</v>
      </c>
      <c r="B260" s="26" t="s">
        <v>252</v>
      </c>
      <c r="C260" s="25">
        <v>971</v>
      </c>
      <c r="D260" s="155">
        <v>170</v>
      </c>
      <c r="E260" s="381">
        <v>216</v>
      </c>
      <c r="F260" s="283">
        <v>261</v>
      </c>
      <c r="G260" s="350">
        <v>327</v>
      </c>
      <c r="H260" s="350">
        <v>350</v>
      </c>
      <c r="I260" s="380">
        <f t="shared" si="20"/>
        <v>917</v>
      </c>
      <c r="J260" s="380">
        <v>414.7</v>
      </c>
      <c r="K260" s="350">
        <v>0</v>
      </c>
      <c r="L260" s="350">
        <v>0</v>
      </c>
      <c r="M260" s="350">
        <v>0</v>
      </c>
      <c r="N260" s="445">
        <f>M260</f>
        <v>0</v>
      </c>
      <c r="O260" s="800">
        <f aca="true" t="shared" si="28" ref="O260:O271">N260</f>
        <v>0</v>
      </c>
      <c r="P260" s="358">
        <f aca="true" t="shared" si="29" ref="P260:P323">C260+G260+M260</f>
        <v>1298</v>
      </c>
      <c r="Q260" s="27">
        <v>0</v>
      </c>
      <c r="R260" s="25">
        <v>0</v>
      </c>
      <c r="S260" s="25">
        <v>0</v>
      </c>
      <c r="T260" s="359"/>
    </row>
    <row r="261" spans="1:20" ht="12.75">
      <c r="A261" s="25">
        <v>918</v>
      </c>
      <c r="B261" s="26" t="s">
        <v>156</v>
      </c>
      <c r="C261" s="25">
        <v>971</v>
      </c>
      <c r="D261" s="155">
        <v>170</v>
      </c>
      <c r="E261" s="381">
        <v>216</v>
      </c>
      <c r="F261" s="283">
        <v>261</v>
      </c>
      <c r="G261" s="350">
        <v>327</v>
      </c>
      <c r="H261" s="350">
        <v>350</v>
      </c>
      <c r="I261" s="380">
        <f t="shared" si="20"/>
        <v>918</v>
      </c>
      <c r="J261" s="380">
        <v>414.7</v>
      </c>
      <c r="K261" s="350">
        <v>0</v>
      </c>
      <c r="L261" s="350">
        <v>0</v>
      </c>
      <c r="M261" s="350">
        <v>0</v>
      </c>
      <c r="N261" s="445">
        <f aca="true" t="shared" si="30" ref="N261:O324">M261</f>
        <v>0</v>
      </c>
      <c r="O261" s="800">
        <f t="shared" si="28"/>
        <v>0</v>
      </c>
      <c r="P261" s="358">
        <f t="shared" si="29"/>
        <v>1298</v>
      </c>
      <c r="Q261" s="27">
        <v>150</v>
      </c>
      <c r="R261" s="25">
        <v>0</v>
      </c>
      <c r="S261" s="25">
        <v>0</v>
      </c>
      <c r="T261" s="359"/>
    </row>
    <row r="262" spans="1:20" ht="12.75">
      <c r="A262" s="25">
        <v>919</v>
      </c>
      <c r="B262" s="26" t="s">
        <v>253</v>
      </c>
      <c r="C262" s="25">
        <v>971</v>
      </c>
      <c r="D262" s="155">
        <v>170</v>
      </c>
      <c r="E262" s="381">
        <v>216</v>
      </c>
      <c r="F262" s="283">
        <v>261</v>
      </c>
      <c r="G262" s="350">
        <v>327</v>
      </c>
      <c r="H262" s="350">
        <v>350</v>
      </c>
      <c r="I262" s="380">
        <f t="shared" si="20"/>
        <v>919</v>
      </c>
      <c r="J262" s="380">
        <v>414.7</v>
      </c>
      <c r="K262" s="350">
        <v>0</v>
      </c>
      <c r="L262" s="350">
        <v>0</v>
      </c>
      <c r="M262" s="350">
        <v>0</v>
      </c>
      <c r="N262" s="445">
        <f t="shared" si="30"/>
        <v>0</v>
      </c>
      <c r="O262" s="800">
        <f t="shared" si="28"/>
        <v>0</v>
      </c>
      <c r="P262" s="358">
        <f t="shared" si="29"/>
        <v>1298</v>
      </c>
      <c r="Q262" s="27">
        <v>17</v>
      </c>
      <c r="R262" s="25">
        <v>0</v>
      </c>
      <c r="S262" s="25">
        <v>0</v>
      </c>
      <c r="T262" s="359"/>
    </row>
    <row r="263" spans="1:20" ht="12.75">
      <c r="A263" s="25">
        <v>920</v>
      </c>
      <c r="B263" s="26" t="s">
        <v>254</v>
      </c>
      <c r="C263" s="25">
        <v>971</v>
      </c>
      <c r="D263" s="155">
        <v>170</v>
      </c>
      <c r="E263" s="381">
        <v>216</v>
      </c>
      <c r="F263" s="283">
        <v>261</v>
      </c>
      <c r="G263" s="350">
        <v>327</v>
      </c>
      <c r="H263" s="350">
        <v>350</v>
      </c>
      <c r="I263" s="380">
        <f aca="true" t="shared" si="31" ref="I263:I326">A263</f>
        <v>920</v>
      </c>
      <c r="J263" s="380">
        <v>414.7</v>
      </c>
      <c r="K263" s="350">
        <v>0</v>
      </c>
      <c r="L263" s="350">
        <v>0</v>
      </c>
      <c r="M263" s="350">
        <v>0</v>
      </c>
      <c r="N263" s="445">
        <f t="shared" si="30"/>
        <v>0</v>
      </c>
      <c r="O263" s="800">
        <f t="shared" si="28"/>
        <v>0</v>
      </c>
      <c r="P263" s="358">
        <f t="shared" si="29"/>
        <v>1298</v>
      </c>
      <c r="Q263" s="27">
        <v>150</v>
      </c>
      <c r="R263" s="25">
        <v>0</v>
      </c>
      <c r="S263" s="25">
        <v>0</v>
      </c>
      <c r="T263" s="359"/>
    </row>
    <row r="264" spans="1:20" ht="12.75">
      <c r="A264" s="25">
        <v>921</v>
      </c>
      <c r="B264" s="26" t="s">
        <v>255</v>
      </c>
      <c r="C264" s="25">
        <v>971</v>
      </c>
      <c r="D264" s="155">
        <v>170</v>
      </c>
      <c r="E264" s="381">
        <v>216</v>
      </c>
      <c r="F264" s="283">
        <v>261</v>
      </c>
      <c r="G264" s="350">
        <v>327</v>
      </c>
      <c r="H264" s="350">
        <v>350</v>
      </c>
      <c r="I264" s="380">
        <f t="shared" si="31"/>
        <v>921</v>
      </c>
      <c r="J264" s="380">
        <v>414.7</v>
      </c>
      <c r="K264" s="350">
        <v>0</v>
      </c>
      <c r="L264" s="350">
        <v>0</v>
      </c>
      <c r="M264" s="350">
        <v>0</v>
      </c>
      <c r="N264" s="445">
        <f t="shared" si="30"/>
        <v>0</v>
      </c>
      <c r="O264" s="800">
        <f t="shared" si="28"/>
        <v>0</v>
      </c>
      <c r="P264" s="358">
        <f t="shared" si="29"/>
        <v>1298</v>
      </c>
      <c r="Q264" s="27">
        <v>0</v>
      </c>
      <c r="R264" s="25">
        <v>0</v>
      </c>
      <c r="S264" s="25">
        <v>0</v>
      </c>
      <c r="T264" s="359"/>
    </row>
    <row r="265" spans="1:20" ht="12.75">
      <c r="A265" s="25">
        <v>922</v>
      </c>
      <c r="B265" s="26" t="s">
        <v>256</v>
      </c>
      <c r="C265" s="25">
        <v>971</v>
      </c>
      <c r="D265" s="155">
        <v>170</v>
      </c>
      <c r="E265" s="381">
        <v>216</v>
      </c>
      <c r="F265" s="283">
        <v>261</v>
      </c>
      <c r="G265" s="350">
        <v>327</v>
      </c>
      <c r="H265" s="350">
        <v>350</v>
      </c>
      <c r="I265" s="380">
        <f t="shared" si="31"/>
        <v>922</v>
      </c>
      <c r="J265" s="380">
        <v>414.7</v>
      </c>
      <c r="K265" s="350">
        <v>0</v>
      </c>
      <c r="L265" s="350">
        <v>0</v>
      </c>
      <c r="M265" s="350">
        <v>0</v>
      </c>
      <c r="N265" s="445">
        <f t="shared" si="30"/>
        <v>0</v>
      </c>
      <c r="O265" s="800">
        <f t="shared" si="28"/>
        <v>0</v>
      </c>
      <c r="P265" s="358">
        <f t="shared" si="29"/>
        <v>1298</v>
      </c>
      <c r="Q265" s="27">
        <v>0</v>
      </c>
      <c r="R265" s="25">
        <v>0</v>
      </c>
      <c r="S265" s="25">
        <v>0</v>
      </c>
      <c r="T265" s="359"/>
    </row>
    <row r="266" spans="1:20" ht="12.75">
      <c r="A266" s="25">
        <v>923</v>
      </c>
      <c r="B266" s="26" t="s">
        <v>257</v>
      </c>
      <c r="C266" s="25">
        <v>971</v>
      </c>
      <c r="D266" s="155">
        <v>170</v>
      </c>
      <c r="E266" s="381">
        <v>216</v>
      </c>
      <c r="F266" s="283">
        <v>261</v>
      </c>
      <c r="G266" s="350">
        <v>327</v>
      </c>
      <c r="H266" s="350">
        <v>350</v>
      </c>
      <c r="I266" s="380">
        <f t="shared" si="31"/>
        <v>923</v>
      </c>
      <c r="J266" s="380">
        <v>414.7</v>
      </c>
      <c r="K266" s="350">
        <v>0</v>
      </c>
      <c r="L266" s="350">
        <v>0</v>
      </c>
      <c r="M266" s="350">
        <v>0</v>
      </c>
      <c r="N266" s="445">
        <f t="shared" si="30"/>
        <v>0</v>
      </c>
      <c r="O266" s="800">
        <f t="shared" si="28"/>
        <v>0</v>
      </c>
      <c r="P266" s="358">
        <f t="shared" si="29"/>
        <v>1298</v>
      </c>
      <c r="Q266" s="27">
        <v>0</v>
      </c>
      <c r="R266" s="25">
        <v>0</v>
      </c>
      <c r="S266" s="25">
        <v>0</v>
      </c>
      <c r="T266" s="359"/>
    </row>
    <row r="267" spans="1:20" ht="12.75">
      <c r="A267" s="25">
        <v>924</v>
      </c>
      <c r="B267" s="26" t="s">
        <v>258</v>
      </c>
      <c r="C267" s="25">
        <v>971</v>
      </c>
      <c r="D267" s="155">
        <v>170</v>
      </c>
      <c r="E267" s="381">
        <v>216</v>
      </c>
      <c r="F267" s="283">
        <v>261</v>
      </c>
      <c r="G267" s="350">
        <v>327</v>
      </c>
      <c r="H267" s="350">
        <v>350</v>
      </c>
      <c r="I267" s="380">
        <f t="shared" si="31"/>
        <v>924</v>
      </c>
      <c r="J267" s="380">
        <v>414.7</v>
      </c>
      <c r="K267" s="350">
        <v>0</v>
      </c>
      <c r="L267" s="350">
        <v>0</v>
      </c>
      <c r="M267" s="350">
        <v>0</v>
      </c>
      <c r="N267" s="445">
        <f t="shared" si="30"/>
        <v>0</v>
      </c>
      <c r="O267" s="800">
        <f t="shared" si="28"/>
        <v>0</v>
      </c>
      <c r="P267" s="358">
        <f t="shared" si="29"/>
        <v>1298</v>
      </c>
      <c r="Q267" s="27">
        <v>150</v>
      </c>
      <c r="R267" s="25">
        <v>0</v>
      </c>
      <c r="S267" s="25">
        <v>0</v>
      </c>
      <c r="T267" s="359"/>
    </row>
    <row r="268" spans="1:20" ht="12.75">
      <c r="A268" s="25">
        <v>925</v>
      </c>
      <c r="B268" s="26" t="s">
        <v>64</v>
      </c>
      <c r="C268" s="25">
        <v>971</v>
      </c>
      <c r="D268" s="155">
        <v>170</v>
      </c>
      <c r="E268" s="381">
        <v>216</v>
      </c>
      <c r="F268" s="283">
        <v>261</v>
      </c>
      <c r="G268" s="350">
        <v>327</v>
      </c>
      <c r="H268" s="350">
        <v>350</v>
      </c>
      <c r="I268" s="380">
        <f t="shared" si="31"/>
        <v>925</v>
      </c>
      <c r="J268" s="380">
        <v>414.7</v>
      </c>
      <c r="K268" s="350">
        <v>0</v>
      </c>
      <c r="L268" s="350">
        <v>0</v>
      </c>
      <c r="M268" s="350">
        <v>0</v>
      </c>
      <c r="N268" s="445">
        <f t="shared" si="30"/>
        <v>0</v>
      </c>
      <c r="O268" s="800">
        <f t="shared" si="28"/>
        <v>0</v>
      </c>
      <c r="P268" s="358">
        <f t="shared" si="29"/>
        <v>1298</v>
      </c>
      <c r="Q268" s="27">
        <v>0</v>
      </c>
      <c r="R268" s="25">
        <v>0</v>
      </c>
      <c r="S268" s="25">
        <v>0</v>
      </c>
      <c r="T268" s="359"/>
    </row>
    <row r="269" spans="1:20" ht="12.75">
      <c r="A269" s="25">
        <v>926</v>
      </c>
      <c r="B269" s="26" t="s">
        <v>180</v>
      </c>
      <c r="C269" s="25">
        <v>1500</v>
      </c>
      <c r="D269" s="155">
        <v>101</v>
      </c>
      <c r="E269" s="155">
        <v>101</v>
      </c>
      <c r="F269" s="283">
        <f>IF(C269&lt;972,E269+44,E269)</f>
        <v>101</v>
      </c>
      <c r="G269" s="283">
        <v>101</v>
      </c>
      <c r="H269" s="283">
        <v>101</v>
      </c>
      <c r="I269" s="380">
        <f t="shared" si="31"/>
        <v>926</v>
      </c>
      <c r="J269" s="380">
        <v>101</v>
      </c>
      <c r="K269" s="350">
        <v>0</v>
      </c>
      <c r="L269" s="350">
        <v>0</v>
      </c>
      <c r="M269" s="350">
        <v>0</v>
      </c>
      <c r="N269" s="445">
        <f t="shared" si="30"/>
        <v>0</v>
      </c>
      <c r="O269" s="800">
        <f t="shared" si="28"/>
        <v>0</v>
      </c>
      <c r="P269" s="358">
        <f t="shared" si="29"/>
        <v>1601</v>
      </c>
      <c r="Q269" s="27">
        <v>150</v>
      </c>
      <c r="R269" s="25">
        <v>0</v>
      </c>
      <c r="S269" s="25">
        <v>0</v>
      </c>
      <c r="T269" s="359"/>
    </row>
    <row r="270" spans="1:20" ht="12.75">
      <c r="A270" s="25">
        <v>928</v>
      </c>
      <c r="B270" s="26" t="s">
        <v>151</v>
      </c>
      <c r="C270" s="25">
        <v>1500</v>
      </c>
      <c r="D270" s="155">
        <v>101</v>
      </c>
      <c r="E270" s="155">
        <v>101</v>
      </c>
      <c r="F270" s="283">
        <f>IF(C270&lt;972,E270+44,E270)</f>
        <v>101</v>
      </c>
      <c r="G270" s="283">
        <v>101</v>
      </c>
      <c r="H270" s="283">
        <v>101</v>
      </c>
      <c r="I270" s="380">
        <f t="shared" si="31"/>
        <v>928</v>
      </c>
      <c r="J270" s="380">
        <v>101</v>
      </c>
      <c r="K270" s="350">
        <v>0</v>
      </c>
      <c r="L270" s="350">
        <v>0</v>
      </c>
      <c r="M270" s="350">
        <v>0</v>
      </c>
      <c r="N270" s="445">
        <f t="shared" si="30"/>
        <v>0</v>
      </c>
      <c r="O270" s="800">
        <f t="shared" si="28"/>
        <v>0</v>
      </c>
      <c r="P270" s="358">
        <f t="shared" si="29"/>
        <v>1601</v>
      </c>
      <c r="Q270" s="27">
        <v>150</v>
      </c>
      <c r="R270" s="25">
        <v>0</v>
      </c>
      <c r="S270" s="25">
        <v>0</v>
      </c>
      <c r="T270" s="359"/>
    </row>
    <row r="271" spans="1:20" ht="12.75">
      <c r="A271" s="25">
        <v>929</v>
      </c>
      <c r="B271" s="26" t="s">
        <v>259</v>
      </c>
      <c r="C271" s="25">
        <v>971</v>
      </c>
      <c r="D271" s="155">
        <v>170</v>
      </c>
      <c r="E271" s="381">
        <v>216</v>
      </c>
      <c r="F271" s="283">
        <v>261</v>
      </c>
      <c r="G271" s="350">
        <v>327</v>
      </c>
      <c r="H271" s="350">
        <v>350</v>
      </c>
      <c r="I271" s="380">
        <f t="shared" si="31"/>
        <v>929</v>
      </c>
      <c r="J271" s="380">
        <v>414.7</v>
      </c>
      <c r="K271" s="350">
        <v>0</v>
      </c>
      <c r="L271" s="350">
        <v>0</v>
      </c>
      <c r="M271" s="350">
        <v>0</v>
      </c>
      <c r="N271" s="445">
        <f t="shared" si="30"/>
        <v>0</v>
      </c>
      <c r="O271" s="800">
        <f t="shared" si="28"/>
        <v>0</v>
      </c>
      <c r="P271" s="358">
        <f t="shared" si="29"/>
        <v>1298</v>
      </c>
      <c r="Q271" s="27">
        <v>150</v>
      </c>
      <c r="R271" s="25">
        <v>0</v>
      </c>
      <c r="S271" s="25">
        <v>0</v>
      </c>
      <c r="T271" s="359"/>
    </row>
    <row r="272" spans="1:20" ht="12.75">
      <c r="A272" s="25">
        <v>930</v>
      </c>
      <c r="B272" s="26" t="s">
        <v>260</v>
      </c>
      <c r="C272" s="25">
        <v>1592</v>
      </c>
      <c r="D272" s="155">
        <v>89</v>
      </c>
      <c r="E272" s="155">
        <v>89</v>
      </c>
      <c r="F272" s="283">
        <f>IF(C272&lt;972,E272+44,E272)</f>
        <v>89</v>
      </c>
      <c r="G272" s="283">
        <v>89</v>
      </c>
      <c r="H272" s="283">
        <v>89</v>
      </c>
      <c r="I272" s="380">
        <f t="shared" si="31"/>
        <v>930</v>
      </c>
      <c r="J272" s="380">
        <v>89</v>
      </c>
      <c r="K272" s="350">
        <v>0</v>
      </c>
      <c r="L272" s="350">
        <v>0</v>
      </c>
      <c r="M272" s="350">
        <v>233</v>
      </c>
      <c r="N272" s="445">
        <f>M272*1.33333</f>
        <v>310.66589</v>
      </c>
      <c r="O272" s="799">
        <f t="shared" si="27"/>
        <v>388.3323625</v>
      </c>
      <c r="P272" s="358">
        <f t="shared" si="29"/>
        <v>1914</v>
      </c>
      <c r="Q272" s="27">
        <v>0</v>
      </c>
      <c r="R272" s="25">
        <v>0</v>
      </c>
      <c r="S272" s="25">
        <v>0</v>
      </c>
      <c r="T272" s="359"/>
    </row>
    <row r="273" spans="1:20" ht="12.75">
      <c r="A273" s="25">
        <v>931</v>
      </c>
      <c r="B273" s="26" t="s">
        <v>261</v>
      </c>
      <c r="C273" s="25">
        <v>971</v>
      </c>
      <c r="D273" s="155">
        <v>170</v>
      </c>
      <c r="E273" s="381">
        <v>216</v>
      </c>
      <c r="F273" s="283">
        <v>261</v>
      </c>
      <c r="G273" s="350">
        <v>327</v>
      </c>
      <c r="H273" s="350">
        <v>350</v>
      </c>
      <c r="I273" s="380">
        <f t="shared" si="31"/>
        <v>931</v>
      </c>
      <c r="J273" s="380">
        <v>414.7</v>
      </c>
      <c r="K273" s="350">
        <v>0</v>
      </c>
      <c r="L273" s="350">
        <v>0</v>
      </c>
      <c r="M273" s="350">
        <v>0</v>
      </c>
      <c r="N273" s="445">
        <f t="shared" si="30"/>
        <v>0</v>
      </c>
      <c r="O273" s="800">
        <f t="shared" si="30"/>
        <v>0</v>
      </c>
      <c r="P273" s="358">
        <f t="shared" si="29"/>
        <v>1298</v>
      </c>
      <c r="Q273" s="27">
        <v>0</v>
      </c>
      <c r="R273" s="25">
        <v>0</v>
      </c>
      <c r="S273" s="25">
        <v>0</v>
      </c>
      <c r="T273" s="359"/>
    </row>
    <row r="274" spans="1:20" ht="14.25">
      <c r="A274" s="25">
        <v>932</v>
      </c>
      <c r="B274" s="26" t="s">
        <v>262</v>
      </c>
      <c r="C274" s="25">
        <v>2220</v>
      </c>
      <c r="D274" s="155">
        <v>7</v>
      </c>
      <c r="E274" s="155">
        <v>7</v>
      </c>
      <c r="F274" s="283">
        <f>IF(C274&lt;972,E274+44,E274)</f>
        <v>7</v>
      </c>
      <c r="G274" s="283">
        <v>7</v>
      </c>
      <c r="H274" s="283">
        <v>7</v>
      </c>
      <c r="I274" s="380">
        <f t="shared" si="31"/>
        <v>932</v>
      </c>
      <c r="J274" s="380">
        <v>7</v>
      </c>
      <c r="K274" s="350">
        <v>0</v>
      </c>
      <c r="L274" s="350">
        <v>0</v>
      </c>
      <c r="M274" s="376">
        <v>521.4</v>
      </c>
      <c r="N274" s="445">
        <f t="shared" si="30"/>
        <v>521.4</v>
      </c>
      <c r="O274" s="800">
        <f t="shared" si="30"/>
        <v>521.4</v>
      </c>
      <c r="P274" s="358">
        <f t="shared" si="29"/>
        <v>2748.4</v>
      </c>
      <c r="Q274" s="27">
        <v>0</v>
      </c>
      <c r="R274" s="25">
        <v>0</v>
      </c>
      <c r="S274" s="25">
        <v>0</v>
      </c>
      <c r="T274" s="359"/>
    </row>
    <row r="275" spans="1:20" ht="14.25">
      <c r="A275" s="32">
        <v>933</v>
      </c>
      <c r="B275" s="33" t="s">
        <v>263</v>
      </c>
      <c r="C275" s="32">
        <v>1580</v>
      </c>
      <c r="D275" s="155">
        <v>90</v>
      </c>
      <c r="E275" s="155">
        <v>90</v>
      </c>
      <c r="F275" s="283">
        <f>IF(C275&lt;972,E275+44,E275)</f>
        <v>90</v>
      </c>
      <c r="G275" s="283">
        <v>90</v>
      </c>
      <c r="H275" s="283">
        <v>90</v>
      </c>
      <c r="I275" s="380">
        <f t="shared" si="31"/>
        <v>933</v>
      </c>
      <c r="J275" s="380">
        <v>90</v>
      </c>
      <c r="K275" s="350">
        <v>0</v>
      </c>
      <c r="L275" s="350">
        <v>0</v>
      </c>
      <c r="M275" s="376">
        <v>347.6</v>
      </c>
      <c r="N275" s="445">
        <f t="shared" si="30"/>
        <v>347.6</v>
      </c>
      <c r="O275" s="800">
        <f t="shared" si="30"/>
        <v>347.6</v>
      </c>
      <c r="P275" s="358">
        <f t="shared" si="29"/>
        <v>2017.6</v>
      </c>
      <c r="Q275" s="34">
        <v>0</v>
      </c>
      <c r="R275" s="32">
        <v>0</v>
      </c>
      <c r="S275" s="32">
        <v>0</v>
      </c>
      <c r="T275" s="359"/>
    </row>
    <row r="276" spans="1:20" ht="12.75">
      <c r="A276" s="25">
        <v>934</v>
      </c>
      <c r="B276" s="26" t="s">
        <v>264</v>
      </c>
      <c r="C276" s="25">
        <v>922</v>
      </c>
      <c r="D276" s="155">
        <v>176</v>
      </c>
      <c r="E276" s="381">
        <v>216</v>
      </c>
      <c r="F276" s="283">
        <v>261</v>
      </c>
      <c r="G276" s="350">
        <v>327</v>
      </c>
      <c r="H276" s="350">
        <v>350</v>
      </c>
      <c r="I276" s="380">
        <f t="shared" si="31"/>
        <v>934</v>
      </c>
      <c r="J276" s="380">
        <v>414.7</v>
      </c>
      <c r="K276" s="350">
        <v>0</v>
      </c>
      <c r="L276" s="350">
        <v>0</v>
      </c>
      <c r="M276" s="350">
        <v>0</v>
      </c>
      <c r="N276" s="445">
        <f t="shared" si="30"/>
        <v>0</v>
      </c>
      <c r="O276" s="800">
        <f t="shared" si="30"/>
        <v>0</v>
      </c>
      <c r="P276" s="358">
        <f t="shared" si="29"/>
        <v>1249</v>
      </c>
      <c r="Q276" s="27">
        <v>0</v>
      </c>
      <c r="R276" s="25">
        <v>0</v>
      </c>
      <c r="S276" s="25">
        <v>0</v>
      </c>
      <c r="T276" s="359"/>
    </row>
    <row r="277" spans="1:20" ht="12.75">
      <c r="A277" s="25">
        <v>935</v>
      </c>
      <c r="B277" s="26" t="s">
        <v>265</v>
      </c>
      <c r="C277" s="25">
        <v>971</v>
      </c>
      <c r="D277" s="155">
        <v>170</v>
      </c>
      <c r="E277" s="381">
        <v>216</v>
      </c>
      <c r="F277" s="283">
        <v>261</v>
      </c>
      <c r="G277" s="350">
        <v>327</v>
      </c>
      <c r="H277" s="350">
        <v>350</v>
      </c>
      <c r="I277" s="380">
        <f t="shared" si="31"/>
        <v>935</v>
      </c>
      <c r="J277" s="380">
        <v>414.7</v>
      </c>
      <c r="K277" s="350">
        <v>0</v>
      </c>
      <c r="L277" s="350">
        <v>0</v>
      </c>
      <c r="M277" s="350">
        <v>0</v>
      </c>
      <c r="N277" s="445">
        <f t="shared" si="30"/>
        <v>0</v>
      </c>
      <c r="O277" s="800">
        <f t="shared" si="30"/>
        <v>0</v>
      </c>
      <c r="P277" s="358">
        <f t="shared" si="29"/>
        <v>1298</v>
      </c>
      <c r="Q277" s="27">
        <v>0</v>
      </c>
      <c r="R277" s="25">
        <v>0</v>
      </c>
      <c r="S277" s="25">
        <v>0</v>
      </c>
      <c r="T277" s="359"/>
    </row>
    <row r="278" spans="1:20" ht="12.75">
      <c r="A278" s="25">
        <v>936</v>
      </c>
      <c r="B278" s="26" t="s">
        <v>266</v>
      </c>
      <c r="C278" s="25">
        <v>1250</v>
      </c>
      <c r="D278" s="155">
        <v>134</v>
      </c>
      <c r="E278" s="155">
        <v>134</v>
      </c>
      <c r="F278" s="283">
        <f>IF(C278&lt;972,E278+44,E278)</f>
        <v>134</v>
      </c>
      <c r="G278" s="283">
        <v>134</v>
      </c>
      <c r="H278" s="283">
        <v>134</v>
      </c>
      <c r="I278" s="380">
        <f t="shared" si="31"/>
        <v>936</v>
      </c>
      <c r="J278" s="380">
        <v>134</v>
      </c>
      <c r="K278" s="350">
        <v>0</v>
      </c>
      <c r="L278" s="350">
        <v>0</v>
      </c>
      <c r="M278" s="350">
        <v>0</v>
      </c>
      <c r="N278" s="445">
        <f t="shared" si="30"/>
        <v>0</v>
      </c>
      <c r="O278" s="800">
        <f t="shared" si="30"/>
        <v>0</v>
      </c>
      <c r="P278" s="358">
        <f t="shared" si="29"/>
        <v>1384</v>
      </c>
      <c r="Q278" s="27">
        <v>0</v>
      </c>
      <c r="R278" s="25">
        <v>0</v>
      </c>
      <c r="S278" s="25">
        <v>0</v>
      </c>
      <c r="T278" s="359"/>
    </row>
    <row r="279" spans="1:20" ht="12.75">
      <c r="A279" s="29">
        <v>937</v>
      </c>
      <c r="B279" s="30" t="s">
        <v>267</v>
      </c>
      <c r="C279" s="29">
        <v>971</v>
      </c>
      <c r="D279" s="155">
        <v>170</v>
      </c>
      <c r="E279" s="381">
        <v>216</v>
      </c>
      <c r="F279" s="283">
        <v>261</v>
      </c>
      <c r="G279" s="350">
        <v>327</v>
      </c>
      <c r="H279" s="350">
        <v>350</v>
      </c>
      <c r="I279" s="380">
        <f t="shared" si="31"/>
        <v>937</v>
      </c>
      <c r="J279" s="380">
        <v>414.7</v>
      </c>
      <c r="K279" s="350">
        <v>0</v>
      </c>
      <c r="L279" s="350">
        <v>0</v>
      </c>
      <c r="M279" s="350">
        <v>0</v>
      </c>
      <c r="N279" s="445">
        <f t="shared" si="30"/>
        <v>0</v>
      </c>
      <c r="O279" s="800">
        <f t="shared" si="30"/>
        <v>0</v>
      </c>
      <c r="P279" s="358">
        <f t="shared" si="29"/>
        <v>1298</v>
      </c>
      <c r="Q279" s="31">
        <v>0</v>
      </c>
      <c r="R279" s="29">
        <v>0</v>
      </c>
      <c r="S279" s="29">
        <v>0</v>
      </c>
      <c r="T279" s="359"/>
    </row>
    <row r="280" spans="1:20" ht="12.75">
      <c r="A280" s="25">
        <v>940</v>
      </c>
      <c r="B280" s="26" t="s">
        <v>268</v>
      </c>
      <c r="C280" s="25">
        <v>1692</v>
      </c>
      <c r="D280" s="155">
        <v>76</v>
      </c>
      <c r="E280" s="155">
        <v>76</v>
      </c>
      <c r="F280" s="283">
        <f aca="true" t="shared" si="32" ref="F280:F285">IF(C280&lt;972,E280+44,E280)</f>
        <v>76</v>
      </c>
      <c r="G280" s="283">
        <v>76</v>
      </c>
      <c r="H280" s="283">
        <v>76</v>
      </c>
      <c r="I280" s="380">
        <f t="shared" si="31"/>
        <v>940</v>
      </c>
      <c r="J280" s="380">
        <v>76</v>
      </c>
      <c r="K280" s="350">
        <v>0</v>
      </c>
      <c r="L280" s="350">
        <v>0</v>
      </c>
      <c r="M280" s="350">
        <v>272</v>
      </c>
      <c r="N280" s="445">
        <f>M280*1.33333</f>
        <v>362.66576</v>
      </c>
      <c r="O280" s="800">
        <f t="shared" si="30"/>
        <v>362.66576</v>
      </c>
      <c r="P280" s="358">
        <f t="shared" si="29"/>
        <v>2040</v>
      </c>
      <c r="Q280" s="27">
        <v>0</v>
      </c>
      <c r="R280" s="25">
        <v>0</v>
      </c>
      <c r="S280" s="25">
        <v>0</v>
      </c>
      <c r="T280" s="359"/>
    </row>
    <row r="281" spans="1:20" ht="12.75">
      <c r="A281" s="25">
        <v>941</v>
      </c>
      <c r="B281" s="26" t="s">
        <v>269</v>
      </c>
      <c r="C281" s="25">
        <v>1942</v>
      </c>
      <c r="D281" s="155">
        <v>43</v>
      </c>
      <c r="E281" s="155">
        <v>43</v>
      </c>
      <c r="F281" s="283">
        <f t="shared" si="32"/>
        <v>43</v>
      </c>
      <c r="G281" s="283">
        <v>43</v>
      </c>
      <c r="H281" s="283">
        <v>43</v>
      </c>
      <c r="I281" s="380">
        <f t="shared" si="31"/>
        <v>941</v>
      </c>
      <c r="J281" s="380">
        <v>43</v>
      </c>
      <c r="K281" s="350">
        <v>0</v>
      </c>
      <c r="L281" s="350">
        <v>194</v>
      </c>
      <c r="M281" s="350">
        <v>388</v>
      </c>
      <c r="N281" s="445">
        <f>M281*1.33333</f>
        <v>517.33204</v>
      </c>
      <c r="O281" s="800">
        <f t="shared" si="30"/>
        <v>517.33204</v>
      </c>
      <c r="P281" s="358">
        <f t="shared" si="29"/>
        <v>2373</v>
      </c>
      <c r="Q281" s="27">
        <v>0</v>
      </c>
      <c r="R281" s="25">
        <v>0</v>
      </c>
      <c r="S281" s="25">
        <v>0</v>
      </c>
      <c r="T281" s="359"/>
    </row>
    <row r="282" spans="1:20" ht="12.75">
      <c r="A282" s="25">
        <v>942</v>
      </c>
      <c r="B282" s="26" t="s">
        <v>270</v>
      </c>
      <c r="C282" s="25">
        <v>1782</v>
      </c>
      <c r="D282" s="155">
        <v>64</v>
      </c>
      <c r="E282" s="155">
        <v>64</v>
      </c>
      <c r="F282" s="283">
        <f t="shared" si="32"/>
        <v>64</v>
      </c>
      <c r="G282" s="283">
        <v>64</v>
      </c>
      <c r="H282" s="283">
        <v>64</v>
      </c>
      <c r="I282" s="380">
        <f t="shared" si="31"/>
        <v>942</v>
      </c>
      <c r="J282" s="380">
        <v>64</v>
      </c>
      <c r="K282" s="350">
        <v>0</v>
      </c>
      <c r="L282" s="350">
        <v>0</v>
      </c>
      <c r="M282" s="350">
        <v>349</v>
      </c>
      <c r="N282" s="445">
        <f>M282*1.33333</f>
        <v>465.33216999999996</v>
      </c>
      <c r="O282" s="800">
        <f t="shared" si="30"/>
        <v>465.33216999999996</v>
      </c>
      <c r="P282" s="358">
        <f t="shared" si="29"/>
        <v>2195</v>
      </c>
      <c r="Q282" s="27">
        <v>0</v>
      </c>
      <c r="R282" s="25">
        <v>0</v>
      </c>
      <c r="S282" s="25">
        <v>0</v>
      </c>
      <c r="T282" s="359"/>
    </row>
    <row r="283" spans="1:20" ht="12.75">
      <c r="A283" s="25">
        <v>943</v>
      </c>
      <c r="B283" s="26" t="s">
        <v>179</v>
      </c>
      <c r="C283" s="25">
        <v>1500</v>
      </c>
      <c r="D283" s="155">
        <v>101</v>
      </c>
      <c r="E283" s="155">
        <v>101</v>
      </c>
      <c r="F283" s="283">
        <f t="shared" si="32"/>
        <v>101</v>
      </c>
      <c r="G283" s="283">
        <v>101</v>
      </c>
      <c r="H283" s="283">
        <v>101</v>
      </c>
      <c r="I283" s="380">
        <f t="shared" si="31"/>
        <v>943</v>
      </c>
      <c r="J283" s="380">
        <v>101</v>
      </c>
      <c r="K283" s="350">
        <v>0</v>
      </c>
      <c r="L283" s="350">
        <v>0</v>
      </c>
      <c r="M283" s="350">
        <v>0</v>
      </c>
      <c r="N283" s="445">
        <f t="shared" si="30"/>
        <v>0</v>
      </c>
      <c r="O283" s="800">
        <f t="shared" si="30"/>
        <v>0</v>
      </c>
      <c r="P283" s="358">
        <f t="shared" si="29"/>
        <v>1601</v>
      </c>
      <c r="Q283" s="27">
        <v>150</v>
      </c>
      <c r="R283" s="25">
        <v>0</v>
      </c>
      <c r="S283" s="25">
        <v>0</v>
      </c>
      <c r="T283" s="359"/>
    </row>
    <row r="284" spans="1:20" ht="12.75">
      <c r="A284" s="25">
        <v>944</v>
      </c>
      <c r="B284" s="26" t="s">
        <v>271</v>
      </c>
      <c r="C284" s="25">
        <v>1400</v>
      </c>
      <c r="D284" s="155">
        <v>114</v>
      </c>
      <c r="E284" s="155">
        <v>114</v>
      </c>
      <c r="F284" s="283">
        <f t="shared" si="32"/>
        <v>114</v>
      </c>
      <c r="G284" s="283">
        <v>114</v>
      </c>
      <c r="H284" s="283">
        <v>114</v>
      </c>
      <c r="I284" s="380">
        <f t="shared" si="31"/>
        <v>944</v>
      </c>
      <c r="J284" s="380">
        <v>114</v>
      </c>
      <c r="K284" s="350">
        <v>0</v>
      </c>
      <c r="L284" s="350">
        <v>116</v>
      </c>
      <c r="M284" s="350">
        <v>233</v>
      </c>
      <c r="N284" s="445">
        <f>M284*1.33333</f>
        <v>310.66589</v>
      </c>
      <c r="O284" s="799">
        <f aca="true" t="shared" si="33" ref="O284:O298">N284*1.25</f>
        <v>388.3323625</v>
      </c>
      <c r="P284" s="358">
        <f t="shared" si="29"/>
        <v>1747</v>
      </c>
      <c r="Q284" s="27">
        <v>0</v>
      </c>
      <c r="R284" s="25">
        <v>0</v>
      </c>
      <c r="S284" s="25">
        <v>0</v>
      </c>
      <c r="T284" s="359"/>
    </row>
    <row r="285" spans="1:20" ht="12.75">
      <c r="A285" s="25">
        <v>945</v>
      </c>
      <c r="B285" s="26" t="s">
        <v>272</v>
      </c>
      <c r="C285" s="25">
        <v>1782</v>
      </c>
      <c r="D285" s="155">
        <v>64</v>
      </c>
      <c r="E285" s="155">
        <v>64</v>
      </c>
      <c r="F285" s="283">
        <f t="shared" si="32"/>
        <v>64</v>
      </c>
      <c r="G285" s="283">
        <v>64</v>
      </c>
      <c r="H285" s="283">
        <v>64</v>
      </c>
      <c r="I285" s="380">
        <f t="shared" si="31"/>
        <v>945</v>
      </c>
      <c r="J285" s="380">
        <v>64</v>
      </c>
      <c r="K285" s="350">
        <v>0</v>
      </c>
      <c r="L285" s="350">
        <v>175</v>
      </c>
      <c r="M285" s="350">
        <v>233</v>
      </c>
      <c r="N285" s="445">
        <f>M285*1.33333</f>
        <v>310.66589</v>
      </c>
      <c r="O285" s="799">
        <f t="shared" si="33"/>
        <v>388.3323625</v>
      </c>
      <c r="P285" s="358">
        <f t="shared" si="29"/>
        <v>2079</v>
      </c>
      <c r="Q285" s="27">
        <v>0</v>
      </c>
      <c r="R285" s="25">
        <v>0</v>
      </c>
      <c r="S285" s="25">
        <v>669</v>
      </c>
      <c r="T285" s="359"/>
    </row>
    <row r="286" spans="1:20" ht="12.75">
      <c r="A286" s="25">
        <v>946</v>
      </c>
      <c r="B286" s="26" t="s">
        <v>209</v>
      </c>
      <c r="C286" s="25">
        <v>971</v>
      </c>
      <c r="D286" s="155">
        <v>170</v>
      </c>
      <c r="E286" s="381">
        <v>170</v>
      </c>
      <c r="F286" s="283">
        <v>170</v>
      </c>
      <c r="G286" s="350">
        <v>214</v>
      </c>
      <c r="H286" s="350">
        <v>214</v>
      </c>
      <c r="I286" s="380">
        <f t="shared" si="31"/>
        <v>946</v>
      </c>
      <c r="J286" s="380">
        <v>214</v>
      </c>
      <c r="K286" s="350">
        <v>0</v>
      </c>
      <c r="L286" s="350">
        <v>0</v>
      </c>
      <c r="M286" s="350">
        <v>0</v>
      </c>
      <c r="N286" s="445">
        <f t="shared" si="30"/>
        <v>0</v>
      </c>
      <c r="O286" s="800">
        <f t="shared" si="30"/>
        <v>0</v>
      </c>
      <c r="P286" s="358">
        <f t="shared" si="29"/>
        <v>1185</v>
      </c>
      <c r="Q286" s="27">
        <v>0</v>
      </c>
      <c r="R286" s="25">
        <v>0</v>
      </c>
      <c r="S286" s="25">
        <v>620</v>
      </c>
      <c r="T286" s="359"/>
    </row>
    <row r="287" spans="1:20" ht="12.75">
      <c r="A287" s="25">
        <v>947</v>
      </c>
      <c r="B287" s="26" t="s">
        <v>273</v>
      </c>
      <c r="C287" s="25">
        <v>971</v>
      </c>
      <c r="D287" s="155">
        <v>170</v>
      </c>
      <c r="E287" s="381">
        <v>216</v>
      </c>
      <c r="F287" s="283">
        <v>261</v>
      </c>
      <c r="G287" s="350">
        <v>327</v>
      </c>
      <c r="H287" s="350">
        <v>350</v>
      </c>
      <c r="I287" s="380">
        <f t="shared" si="31"/>
        <v>947</v>
      </c>
      <c r="J287" s="380">
        <v>414.7</v>
      </c>
      <c r="K287" s="350">
        <v>0</v>
      </c>
      <c r="L287" s="350">
        <v>0</v>
      </c>
      <c r="M287" s="350">
        <v>0</v>
      </c>
      <c r="N287" s="445">
        <f t="shared" si="30"/>
        <v>0</v>
      </c>
      <c r="O287" s="800">
        <f t="shared" si="30"/>
        <v>0</v>
      </c>
      <c r="P287" s="358">
        <f t="shared" si="29"/>
        <v>1298</v>
      </c>
      <c r="Q287" s="27">
        <v>0</v>
      </c>
      <c r="R287" s="25">
        <v>0</v>
      </c>
      <c r="S287" s="25">
        <v>155</v>
      </c>
      <c r="T287" s="359"/>
    </row>
    <row r="288" spans="1:20" ht="12.75">
      <c r="A288" s="25">
        <v>948</v>
      </c>
      <c r="B288" s="361" t="s">
        <v>440</v>
      </c>
      <c r="C288" s="25">
        <v>1300</v>
      </c>
      <c r="D288" s="155"/>
      <c r="E288" s="381"/>
      <c r="F288" s="283"/>
      <c r="G288" s="350">
        <v>127</v>
      </c>
      <c r="H288" s="350">
        <v>127</v>
      </c>
      <c r="I288" s="380">
        <f t="shared" si="31"/>
        <v>948</v>
      </c>
      <c r="J288" s="380">
        <v>127</v>
      </c>
      <c r="K288" s="350"/>
      <c r="L288" s="350"/>
      <c r="M288" s="350">
        <v>233</v>
      </c>
      <c r="N288" s="445">
        <f>M288*1.33333</f>
        <v>310.66589</v>
      </c>
      <c r="O288" s="799">
        <f t="shared" si="33"/>
        <v>388.3323625</v>
      </c>
      <c r="P288" s="358">
        <f t="shared" si="29"/>
        <v>1660</v>
      </c>
      <c r="Q288" s="27">
        <v>0</v>
      </c>
      <c r="R288" s="25">
        <v>0</v>
      </c>
      <c r="S288" s="25">
        <v>657</v>
      </c>
      <c r="T288" s="359"/>
    </row>
    <row r="289" spans="1:20" ht="12.75">
      <c r="A289" s="25">
        <v>951</v>
      </c>
      <c r="B289" s="26" t="s">
        <v>166</v>
      </c>
      <c r="C289" s="25">
        <v>1500</v>
      </c>
      <c r="D289" s="155">
        <v>101</v>
      </c>
      <c r="E289" s="155">
        <v>101</v>
      </c>
      <c r="F289" s="283">
        <f>IF(C289&lt;972,E289+44,E289)</f>
        <v>101</v>
      </c>
      <c r="G289" s="283">
        <v>101</v>
      </c>
      <c r="H289" s="283">
        <v>101</v>
      </c>
      <c r="I289" s="380">
        <f t="shared" si="31"/>
        <v>951</v>
      </c>
      <c r="J289" s="380">
        <v>101</v>
      </c>
      <c r="K289" s="350">
        <v>0</v>
      </c>
      <c r="L289" s="350">
        <v>0</v>
      </c>
      <c r="M289" s="350">
        <v>0</v>
      </c>
      <c r="N289" s="445">
        <f t="shared" si="30"/>
        <v>0</v>
      </c>
      <c r="O289" s="800">
        <f t="shared" si="30"/>
        <v>0</v>
      </c>
      <c r="P289" s="358">
        <f t="shared" si="29"/>
        <v>1601</v>
      </c>
      <c r="Q289" s="27">
        <v>150</v>
      </c>
      <c r="R289" s="25">
        <v>0</v>
      </c>
      <c r="S289" s="25">
        <v>0</v>
      </c>
      <c r="T289" s="359"/>
    </row>
    <row r="290" spans="1:20" ht="12.75">
      <c r="A290" s="25">
        <v>952</v>
      </c>
      <c r="B290" s="26" t="s">
        <v>274</v>
      </c>
      <c r="C290" s="25">
        <v>971</v>
      </c>
      <c r="D290" s="155">
        <v>170</v>
      </c>
      <c r="E290" s="381">
        <v>216</v>
      </c>
      <c r="F290" s="283">
        <v>261</v>
      </c>
      <c r="G290" s="350">
        <v>327</v>
      </c>
      <c r="H290" s="350">
        <v>350</v>
      </c>
      <c r="I290" s="380">
        <f t="shared" si="31"/>
        <v>952</v>
      </c>
      <c r="J290" s="380">
        <v>414.7</v>
      </c>
      <c r="K290" s="350">
        <v>0</v>
      </c>
      <c r="L290" s="350">
        <v>0</v>
      </c>
      <c r="M290" s="350">
        <v>0</v>
      </c>
      <c r="N290" s="445">
        <f t="shared" si="30"/>
        <v>0</v>
      </c>
      <c r="O290" s="800">
        <f t="shared" si="30"/>
        <v>0</v>
      </c>
      <c r="P290" s="358">
        <f t="shared" si="29"/>
        <v>1298</v>
      </c>
      <c r="Q290" s="27">
        <v>0</v>
      </c>
      <c r="R290" s="25">
        <v>0</v>
      </c>
      <c r="S290" s="25">
        <v>155</v>
      </c>
      <c r="T290" s="359"/>
    </row>
    <row r="291" spans="1:20" ht="12.75">
      <c r="A291" s="25">
        <v>953</v>
      </c>
      <c r="B291" s="26" t="s">
        <v>275</v>
      </c>
      <c r="C291" s="25">
        <v>971</v>
      </c>
      <c r="D291" s="155">
        <v>170</v>
      </c>
      <c r="E291" s="381">
        <v>216</v>
      </c>
      <c r="F291" s="283">
        <v>261</v>
      </c>
      <c r="G291" s="350">
        <v>327</v>
      </c>
      <c r="H291" s="350">
        <v>350</v>
      </c>
      <c r="I291" s="380">
        <f t="shared" si="31"/>
        <v>953</v>
      </c>
      <c r="J291" s="380">
        <v>414.7</v>
      </c>
      <c r="K291" s="350">
        <v>0</v>
      </c>
      <c r="L291" s="350">
        <v>0</v>
      </c>
      <c r="M291" s="350">
        <v>0</v>
      </c>
      <c r="N291" s="445">
        <f t="shared" si="30"/>
        <v>0</v>
      </c>
      <c r="O291" s="800">
        <f t="shared" si="30"/>
        <v>0</v>
      </c>
      <c r="P291" s="358">
        <f t="shared" si="29"/>
        <v>1298</v>
      </c>
      <c r="Q291" s="27">
        <v>0</v>
      </c>
      <c r="R291" s="25">
        <v>0</v>
      </c>
      <c r="S291" s="25">
        <v>155</v>
      </c>
      <c r="T291" s="359"/>
    </row>
    <row r="292" spans="1:20" ht="12.75">
      <c r="A292" s="25">
        <v>954</v>
      </c>
      <c r="B292" s="26" t="s">
        <v>276</v>
      </c>
      <c r="C292" s="25">
        <v>1600</v>
      </c>
      <c r="D292" s="155">
        <v>88</v>
      </c>
      <c r="E292" s="155">
        <v>88</v>
      </c>
      <c r="F292" s="283">
        <f>IF(C292&lt;972,E292+44,E292)</f>
        <v>88</v>
      </c>
      <c r="G292" s="283">
        <v>88</v>
      </c>
      <c r="H292" s="283">
        <v>88</v>
      </c>
      <c r="I292" s="380">
        <f t="shared" si="31"/>
        <v>954</v>
      </c>
      <c r="J292" s="380">
        <v>88</v>
      </c>
      <c r="K292" s="350">
        <v>0</v>
      </c>
      <c r="L292" s="350">
        <v>116</v>
      </c>
      <c r="M292" s="350">
        <v>233</v>
      </c>
      <c r="N292" s="445">
        <f>M292*1.33333</f>
        <v>310.66589</v>
      </c>
      <c r="O292" s="799">
        <f t="shared" si="33"/>
        <v>388.3323625</v>
      </c>
      <c r="P292" s="358">
        <f t="shared" si="29"/>
        <v>1921</v>
      </c>
      <c r="Q292" s="27">
        <v>0</v>
      </c>
      <c r="R292" s="25">
        <v>0</v>
      </c>
      <c r="S292" s="25">
        <v>657</v>
      </c>
      <c r="T292" s="359"/>
    </row>
    <row r="293" spans="1:20" ht="12.75">
      <c r="A293" s="25">
        <v>955</v>
      </c>
      <c r="B293" s="26" t="s">
        <v>195</v>
      </c>
      <c r="C293" s="25">
        <v>971</v>
      </c>
      <c r="D293" s="155">
        <v>170</v>
      </c>
      <c r="E293" s="381">
        <v>216</v>
      </c>
      <c r="F293" s="283">
        <v>261</v>
      </c>
      <c r="G293" s="350">
        <v>327</v>
      </c>
      <c r="H293" s="350">
        <v>350</v>
      </c>
      <c r="I293" s="380">
        <f t="shared" si="31"/>
        <v>955</v>
      </c>
      <c r="J293" s="380">
        <v>414.7</v>
      </c>
      <c r="K293" s="350">
        <v>0</v>
      </c>
      <c r="L293" s="350">
        <v>0</v>
      </c>
      <c r="M293" s="350">
        <v>0</v>
      </c>
      <c r="N293" s="445">
        <f t="shared" si="30"/>
        <v>0</v>
      </c>
      <c r="O293" s="800">
        <f>N293</f>
        <v>0</v>
      </c>
      <c r="P293" s="358">
        <f t="shared" si="29"/>
        <v>1298</v>
      </c>
      <c r="Q293" s="27">
        <v>0</v>
      </c>
      <c r="R293" s="25">
        <v>0</v>
      </c>
      <c r="S293" s="25">
        <v>0</v>
      </c>
      <c r="T293" s="359"/>
    </row>
    <row r="294" spans="1:20" ht="12.75">
      <c r="A294" s="25">
        <v>956</v>
      </c>
      <c r="B294" s="26" t="s">
        <v>277</v>
      </c>
      <c r="C294" s="25">
        <v>1692</v>
      </c>
      <c r="D294" s="155">
        <v>76</v>
      </c>
      <c r="E294" s="155">
        <v>76</v>
      </c>
      <c r="F294" s="283">
        <f aca="true" t="shared" si="34" ref="F294:F300">IF(C294&lt;972,E294+44,E294)</f>
        <v>76</v>
      </c>
      <c r="G294" s="283">
        <v>76</v>
      </c>
      <c r="H294" s="283">
        <v>76</v>
      </c>
      <c r="I294" s="380">
        <f t="shared" si="31"/>
        <v>956</v>
      </c>
      <c r="J294" s="380">
        <v>76</v>
      </c>
      <c r="K294" s="350">
        <v>0</v>
      </c>
      <c r="L294" s="350">
        <v>136</v>
      </c>
      <c r="M294" s="350">
        <v>272</v>
      </c>
      <c r="N294" s="445">
        <f>M294*1.33333</f>
        <v>362.66576</v>
      </c>
      <c r="O294" s="799">
        <f t="shared" si="33"/>
        <v>453.33219999999994</v>
      </c>
      <c r="P294" s="358">
        <f t="shared" si="29"/>
        <v>2040</v>
      </c>
      <c r="Q294" s="27">
        <v>0</v>
      </c>
      <c r="R294" s="25">
        <v>0</v>
      </c>
      <c r="S294" s="25">
        <v>663</v>
      </c>
      <c r="T294" s="359"/>
    </row>
    <row r="295" spans="1:20" ht="12.75">
      <c r="A295" s="25">
        <v>957</v>
      </c>
      <c r="B295" s="26" t="s">
        <v>441</v>
      </c>
      <c r="C295" s="25">
        <v>1700</v>
      </c>
      <c r="D295" s="155">
        <v>75</v>
      </c>
      <c r="E295" s="155">
        <v>75</v>
      </c>
      <c r="F295" s="283">
        <f t="shared" si="34"/>
        <v>75</v>
      </c>
      <c r="G295" s="283">
        <v>75</v>
      </c>
      <c r="H295" s="283">
        <v>75</v>
      </c>
      <c r="I295" s="380">
        <f t="shared" si="31"/>
        <v>957</v>
      </c>
      <c r="J295" s="380">
        <v>75</v>
      </c>
      <c r="K295" s="350">
        <v>0</v>
      </c>
      <c r="L295" s="350">
        <v>0</v>
      </c>
      <c r="M295" s="350">
        <v>310</v>
      </c>
      <c r="N295" s="445">
        <f>M295*1.33333</f>
        <v>413.3323</v>
      </c>
      <c r="O295" s="799">
        <f t="shared" si="33"/>
        <v>516.6653749999999</v>
      </c>
      <c r="P295" s="358">
        <f t="shared" si="29"/>
        <v>2085</v>
      </c>
      <c r="Q295" s="27">
        <v>0</v>
      </c>
      <c r="R295" s="25">
        <v>0</v>
      </c>
      <c r="S295" s="25">
        <v>0</v>
      </c>
      <c r="T295" s="359"/>
    </row>
    <row r="296" spans="1:20" ht="12.75">
      <c r="A296" s="25">
        <v>958</v>
      </c>
      <c r="B296" s="26" t="s">
        <v>278</v>
      </c>
      <c r="C296" s="25">
        <v>2913</v>
      </c>
      <c r="D296" s="155">
        <v>0</v>
      </c>
      <c r="E296" s="155">
        <v>0</v>
      </c>
      <c r="F296" s="283">
        <f t="shared" si="34"/>
        <v>0</v>
      </c>
      <c r="G296" s="283">
        <v>0</v>
      </c>
      <c r="H296" s="283">
        <v>0</v>
      </c>
      <c r="I296" s="380">
        <f t="shared" si="31"/>
        <v>958</v>
      </c>
      <c r="J296" s="380">
        <v>0</v>
      </c>
      <c r="K296" s="350">
        <v>0</v>
      </c>
      <c r="L296" s="350">
        <v>0</v>
      </c>
      <c r="M296" s="350">
        <v>0</v>
      </c>
      <c r="N296" s="445">
        <f t="shared" si="30"/>
        <v>0</v>
      </c>
      <c r="O296" s="799">
        <f t="shared" si="33"/>
        <v>0</v>
      </c>
      <c r="P296" s="358">
        <f t="shared" si="29"/>
        <v>2913</v>
      </c>
      <c r="Q296" s="27">
        <v>0</v>
      </c>
      <c r="R296" s="25">
        <v>0</v>
      </c>
      <c r="S296" s="25">
        <v>0</v>
      </c>
      <c r="T296" s="359"/>
    </row>
    <row r="297" spans="1:20" ht="12.75">
      <c r="A297" s="25">
        <v>959</v>
      </c>
      <c r="B297" s="26" t="s">
        <v>442</v>
      </c>
      <c r="C297" s="25">
        <v>1942</v>
      </c>
      <c r="D297" s="155">
        <v>7</v>
      </c>
      <c r="E297" s="155">
        <v>7</v>
      </c>
      <c r="F297" s="283">
        <f t="shared" si="34"/>
        <v>7</v>
      </c>
      <c r="G297" s="283">
        <v>43</v>
      </c>
      <c r="H297" s="283">
        <v>43</v>
      </c>
      <c r="I297" s="380">
        <f t="shared" si="31"/>
        <v>959</v>
      </c>
      <c r="J297" s="380">
        <v>43</v>
      </c>
      <c r="K297" s="350">
        <v>0</v>
      </c>
      <c r="L297" s="350">
        <v>0</v>
      </c>
      <c r="M297" s="350">
        <v>388</v>
      </c>
      <c r="N297" s="445">
        <f t="shared" si="30"/>
        <v>388</v>
      </c>
      <c r="O297" s="799">
        <f t="shared" si="33"/>
        <v>485</v>
      </c>
      <c r="P297" s="358">
        <f t="shared" si="29"/>
        <v>2373</v>
      </c>
      <c r="Q297" s="27">
        <v>0</v>
      </c>
      <c r="R297" s="25">
        <v>0</v>
      </c>
      <c r="S297" s="25">
        <v>0</v>
      </c>
      <c r="T297" s="359"/>
    </row>
    <row r="298" spans="1:20" ht="12.75">
      <c r="A298" s="25">
        <v>960</v>
      </c>
      <c r="B298" s="26" t="s">
        <v>443</v>
      </c>
      <c r="C298" s="25">
        <v>1600</v>
      </c>
      <c r="D298" s="155">
        <v>68</v>
      </c>
      <c r="E298" s="155">
        <v>68</v>
      </c>
      <c r="F298" s="283">
        <f t="shared" si="34"/>
        <v>68</v>
      </c>
      <c r="G298" s="283">
        <v>68</v>
      </c>
      <c r="H298" s="283">
        <v>68</v>
      </c>
      <c r="I298" s="380">
        <f t="shared" si="31"/>
        <v>960</v>
      </c>
      <c r="J298" s="380">
        <v>68</v>
      </c>
      <c r="K298" s="350">
        <v>0</v>
      </c>
      <c r="L298" s="350">
        <v>0</v>
      </c>
      <c r="M298" s="350">
        <v>233</v>
      </c>
      <c r="N298" s="445">
        <f t="shared" si="30"/>
        <v>233</v>
      </c>
      <c r="O298" s="799">
        <f t="shared" si="33"/>
        <v>291.25</v>
      </c>
      <c r="P298" s="358">
        <f t="shared" si="29"/>
        <v>1901</v>
      </c>
      <c r="Q298" s="27">
        <v>0</v>
      </c>
      <c r="R298" s="25">
        <v>0</v>
      </c>
      <c r="S298" s="25">
        <v>0</v>
      </c>
      <c r="T298" s="359"/>
    </row>
    <row r="299" spans="1:20" ht="14.25">
      <c r="A299" s="25">
        <v>961</v>
      </c>
      <c r="B299" s="26" t="s">
        <v>279</v>
      </c>
      <c r="C299" s="25">
        <v>1580</v>
      </c>
      <c r="D299" s="155">
        <v>90</v>
      </c>
      <c r="E299" s="155">
        <v>90</v>
      </c>
      <c r="F299" s="283">
        <f t="shared" si="34"/>
        <v>90</v>
      </c>
      <c r="G299" s="283">
        <v>90</v>
      </c>
      <c r="H299" s="283">
        <v>90</v>
      </c>
      <c r="I299" s="380">
        <f t="shared" si="31"/>
        <v>961</v>
      </c>
      <c r="J299" s="380">
        <v>90</v>
      </c>
      <c r="K299" s="350">
        <v>0</v>
      </c>
      <c r="L299" s="350">
        <v>0</v>
      </c>
      <c r="M299" s="376">
        <v>347.6</v>
      </c>
      <c r="N299" s="445">
        <f t="shared" si="30"/>
        <v>347.6</v>
      </c>
      <c r="O299" s="800">
        <f t="shared" si="30"/>
        <v>347.6</v>
      </c>
      <c r="P299" s="358">
        <f t="shared" si="29"/>
        <v>2017.6</v>
      </c>
      <c r="Q299" s="27">
        <v>0</v>
      </c>
      <c r="R299" s="25">
        <v>0</v>
      </c>
      <c r="S299" s="25">
        <v>0</v>
      </c>
      <c r="T299" s="359"/>
    </row>
    <row r="300" spans="1:20" ht="12.75">
      <c r="A300" s="25">
        <v>962</v>
      </c>
      <c r="B300" s="26" t="s">
        <v>280</v>
      </c>
      <c r="C300" s="25">
        <v>1580</v>
      </c>
      <c r="D300" s="155">
        <v>90</v>
      </c>
      <c r="E300" s="155">
        <v>90</v>
      </c>
      <c r="F300" s="283">
        <f t="shared" si="34"/>
        <v>90</v>
      </c>
      <c r="G300" s="283">
        <v>90</v>
      </c>
      <c r="H300" s="283">
        <v>90</v>
      </c>
      <c r="I300" s="380">
        <f t="shared" si="31"/>
        <v>962</v>
      </c>
      <c r="J300" s="380">
        <v>90</v>
      </c>
      <c r="K300" s="350">
        <v>0</v>
      </c>
      <c r="L300" s="350">
        <v>0</v>
      </c>
      <c r="M300" s="350">
        <v>0</v>
      </c>
      <c r="N300" s="445">
        <f t="shared" si="30"/>
        <v>0</v>
      </c>
      <c r="O300" s="800">
        <f t="shared" si="30"/>
        <v>0</v>
      </c>
      <c r="P300" s="358">
        <f t="shared" si="29"/>
        <v>1670</v>
      </c>
      <c r="Q300" s="27">
        <v>0</v>
      </c>
      <c r="R300" s="25">
        <v>0</v>
      </c>
      <c r="S300" s="25">
        <v>0</v>
      </c>
      <c r="T300" s="359"/>
    </row>
    <row r="301" spans="1:20" ht="12.75">
      <c r="A301" s="25">
        <v>963</v>
      </c>
      <c r="B301" s="26" t="s">
        <v>281</v>
      </c>
      <c r="C301" s="25">
        <v>951</v>
      </c>
      <c r="D301" s="155">
        <v>170</v>
      </c>
      <c r="E301" s="381">
        <v>216</v>
      </c>
      <c r="F301" s="283">
        <v>261</v>
      </c>
      <c r="G301" s="350">
        <v>327</v>
      </c>
      <c r="H301" s="350">
        <v>350</v>
      </c>
      <c r="I301" s="380">
        <f t="shared" si="31"/>
        <v>963</v>
      </c>
      <c r="J301" s="380">
        <v>414.7</v>
      </c>
      <c r="K301" s="350">
        <v>0</v>
      </c>
      <c r="L301" s="350">
        <v>0</v>
      </c>
      <c r="M301" s="350">
        <v>0</v>
      </c>
      <c r="N301" s="445">
        <f t="shared" si="30"/>
        <v>0</v>
      </c>
      <c r="O301" s="800">
        <f t="shared" si="30"/>
        <v>0</v>
      </c>
      <c r="P301" s="358">
        <f t="shared" si="29"/>
        <v>1278</v>
      </c>
      <c r="Q301" s="27">
        <v>0</v>
      </c>
      <c r="R301" s="25">
        <v>0</v>
      </c>
      <c r="S301" s="25">
        <v>0</v>
      </c>
      <c r="T301" s="359"/>
    </row>
    <row r="302" spans="1:20" ht="12.75">
      <c r="A302" s="25">
        <v>965</v>
      </c>
      <c r="B302" s="26" t="s">
        <v>282</v>
      </c>
      <c r="C302" s="25">
        <v>2913</v>
      </c>
      <c r="D302" s="155">
        <v>0</v>
      </c>
      <c r="E302" s="155">
        <v>0</v>
      </c>
      <c r="F302" s="283">
        <f>IF(C302&lt;972,E302+44,E302)</f>
        <v>0</v>
      </c>
      <c r="G302" s="283">
        <v>0</v>
      </c>
      <c r="H302" s="283">
        <v>0</v>
      </c>
      <c r="I302" s="380">
        <f t="shared" si="31"/>
        <v>965</v>
      </c>
      <c r="J302" s="380">
        <v>0</v>
      </c>
      <c r="K302" s="350">
        <v>0</v>
      </c>
      <c r="L302" s="350">
        <v>0</v>
      </c>
      <c r="M302" s="350">
        <v>0</v>
      </c>
      <c r="N302" s="445">
        <f t="shared" si="30"/>
        <v>0</v>
      </c>
      <c r="O302" s="800">
        <f t="shared" si="30"/>
        <v>0</v>
      </c>
      <c r="P302" s="358">
        <f t="shared" si="29"/>
        <v>2913</v>
      </c>
      <c r="Q302" s="27">
        <v>0</v>
      </c>
      <c r="R302" s="25">
        <v>0</v>
      </c>
      <c r="S302" s="25">
        <v>0</v>
      </c>
      <c r="T302" s="359"/>
    </row>
    <row r="303" spans="1:20" ht="14.25">
      <c r="A303" s="25">
        <v>966</v>
      </c>
      <c r="B303" s="26" t="s">
        <v>283</v>
      </c>
      <c r="C303" s="25">
        <v>1850</v>
      </c>
      <c r="D303" s="155">
        <v>55</v>
      </c>
      <c r="E303" s="155">
        <v>55</v>
      </c>
      <c r="F303" s="283">
        <f>IF(C303&lt;972,E303+44,E303)</f>
        <v>55</v>
      </c>
      <c r="G303" s="283">
        <v>55</v>
      </c>
      <c r="H303" s="283">
        <v>55</v>
      </c>
      <c r="I303" s="380">
        <f t="shared" si="31"/>
        <v>966</v>
      </c>
      <c r="J303" s="380">
        <v>55</v>
      </c>
      <c r="K303" s="350">
        <v>0</v>
      </c>
      <c r="L303" s="350">
        <v>0</v>
      </c>
      <c r="M303" s="376">
        <v>434.5</v>
      </c>
      <c r="N303" s="445">
        <f t="shared" si="30"/>
        <v>434.5</v>
      </c>
      <c r="O303" s="800">
        <f t="shared" si="30"/>
        <v>434.5</v>
      </c>
      <c r="P303" s="358">
        <f t="shared" si="29"/>
        <v>2339.5</v>
      </c>
      <c r="Q303" s="27">
        <v>0</v>
      </c>
      <c r="R303" s="25">
        <v>0</v>
      </c>
      <c r="S303" s="25">
        <v>0</v>
      </c>
      <c r="T303" s="359"/>
    </row>
    <row r="304" spans="1:20" ht="12.75">
      <c r="A304" s="25">
        <v>967</v>
      </c>
      <c r="B304" s="26" t="s">
        <v>284</v>
      </c>
      <c r="C304" s="25">
        <v>1564</v>
      </c>
      <c r="D304" s="155">
        <v>93</v>
      </c>
      <c r="E304" s="155">
        <v>93</v>
      </c>
      <c r="F304" s="283">
        <f>IF(C304&lt;972,E304+44,E304)</f>
        <v>93</v>
      </c>
      <c r="G304" s="283">
        <v>93</v>
      </c>
      <c r="H304" s="283">
        <v>93</v>
      </c>
      <c r="I304" s="380">
        <f t="shared" si="31"/>
        <v>967</v>
      </c>
      <c r="J304" s="380">
        <v>93</v>
      </c>
      <c r="K304" s="350">
        <v>0</v>
      </c>
      <c r="L304" s="350">
        <v>0</v>
      </c>
      <c r="M304" s="350">
        <v>0</v>
      </c>
      <c r="N304" s="445">
        <f t="shared" si="30"/>
        <v>0</v>
      </c>
      <c r="O304" s="800">
        <f t="shared" si="30"/>
        <v>0</v>
      </c>
      <c r="P304" s="358">
        <f t="shared" si="29"/>
        <v>1657</v>
      </c>
      <c r="Q304" s="27">
        <v>0</v>
      </c>
      <c r="R304" s="25">
        <v>0</v>
      </c>
      <c r="S304" s="25">
        <v>0</v>
      </c>
      <c r="T304" s="359"/>
    </row>
    <row r="305" spans="1:20" ht="12.75">
      <c r="A305" s="25">
        <v>968</v>
      </c>
      <c r="B305" s="26" t="s">
        <v>233</v>
      </c>
      <c r="C305" s="25">
        <v>1500</v>
      </c>
      <c r="D305" s="155">
        <v>101</v>
      </c>
      <c r="E305" s="155">
        <v>101</v>
      </c>
      <c r="F305" s="283">
        <f>IF(C305&lt;972,E305+44,E305)</f>
        <v>101</v>
      </c>
      <c r="G305" s="283">
        <v>101</v>
      </c>
      <c r="H305" s="283">
        <v>101</v>
      </c>
      <c r="I305" s="380">
        <f t="shared" si="31"/>
        <v>968</v>
      </c>
      <c r="J305" s="380">
        <v>101</v>
      </c>
      <c r="K305" s="350">
        <v>0</v>
      </c>
      <c r="L305" s="350">
        <v>0</v>
      </c>
      <c r="M305" s="350">
        <v>388</v>
      </c>
      <c r="N305" s="445">
        <f>M305*1.33333</f>
        <v>517.33204</v>
      </c>
      <c r="O305" s="799">
        <f>N305*1.25</f>
        <v>646.6650500000001</v>
      </c>
      <c r="P305" s="358">
        <f t="shared" si="29"/>
        <v>1989</v>
      </c>
      <c r="Q305" s="27">
        <v>0</v>
      </c>
      <c r="R305" s="25">
        <v>0</v>
      </c>
      <c r="S305" s="25">
        <v>0</v>
      </c>
      <c r="T305" s="359"/>
    </row>
    <row r="306" spans="1:20" ht="12.75">
      <c r="A306" s="25">
        <v>969</v>
      </c>
      <c r="B306" s="26" t="s">
        <v>285</v>
      </c>
      <c r="C306" s="25">
        <v>971</v>
      </c>
      <c r="D306" s="155">
        <v>170</v>
      </c>
      <c r="E306" s="381">
        <v>216</v>
      </c>
      <c r="F306" s="283">
        <v>261</v>
      </c>
      <c r="G306" s="350">
        <v>327</v>
      </c>
      <c r="H306" s="350">
        <v>350</v>
      </c>
      <c r="I306" s="380">
        <f t="shared" si="31"/>
        <v>969</v>
      </c>
      <c r="J306" s="380">
        <v>414.7</v>
      </c>
      <c r="K306" s="350">
        <v>0</v>
      </c>
      <c r="L306" s="350">
        <v>0</v>
      </c>
      <c r="M306" s="350">
        <v>0</v>
      </c>
      <c r="N306" s="445">
        <f t="shared" si="30"/>
        <v>0</v>
      </c>
      <c r="O306" s="800">
        <f t="shared" si="30"/>
        <v>0</v>
      </c>
      <c r="P306" s="358">
        <f t="shared" si="29"/>
        <v>1298</v>
      </c>
      <c r="Q306" s="27">
        <v>150</v>
      </c>
      <c r="R306" s="25">
        <v>0</v>
      </c>
      <c r="S306" s="25">
        <v>0</v>
      </c>
      <c r="T306" s="359"/>
    </row>
    <row r="307" spans="1:20" ht="12.75">
      <c r="A307" s="25">
        <v>970</v>
      </c>
      <c r="B307" s="26" t="s">
        <v>286</v>
      </c>
      <c r="C307" s="25">
        <v>1480</v>
      </c>
      <c r="D307" s="155">
        <v>104</v>
      </c>
      <c r="E307" s="155">
        <v>104</v>
      </c>
      <c r="F307" s="283">
        <f>IF(C307&lt;972,E307+44,E307)</f>
        <v>104</v>
      </c>
      <c r="G307" s="283">
        <v>104</v>
      </c>
      <c r="H307" s="283">
        <v>104</v>
      </c>
      <c r="I307" s="380">
        <f t="shared" si="31"/>
        <v>970</v>
      </c>
      <c r="J307" s="380">
        <v>104</v>
      </c>
      <c r="K307" s="350">
        <v>0</v>
      </c>
      <c r="L307" s="350">
        <v>0</v>
      </c>
      <c r="M307" s="350">
        <v>0</v>
      </c>
      <c r="N307" s="445">
        <f t="shared" si="30"/>
        <v>0</v>
      </c>
      <c r="O307" s="800">
        <f t="shared" si="30"/>
        <v>0</v>
      </c>
      <c r="P307" s="358">
        <f t="shared" si="29"/>
        <v>1584</v>
      </c>
      <c r="Q307" s="27">
        <v>0</v>
      </c>
      <c r="R307" s="25">
        <v>0</v>
      </c>
      <c r="S307" s="25">
        <v>0</v>
      </c>
      <c r="T307" s="359"/>
    </row>
    <row r="308" spans="1:20" ht="12.75">
      <c r="A308" s="25">
        <v>971</v>
      </c>
      <c r="B308" s="26" t="s">
        <v>287</v>
      </c>
      <c r="C308" s="25">
        <v>1400</v>
      </c>
      <c r="D308" s="155">
        <v>114</v>
      </c>
      <c r="E308" s="155">
        <v>114</v>
      </c>
      <c r="F308" s="283">
        <f>IF(C308&lt;972,E308+44,E308)</f>
        <v>114</v>
      </c>
      <c r="G308" s="283">
        <v>114</v>
      </c>
      <c r="H308" s="283">
        <v>114</v>
      </c>
      <c r="I308" s="380">
        <f t="shared" si="31"/>
        <v>971</v>
      </c>
      <c r="J308" s="380">
        <v>114</v>
      </c>
      <c r="K308" s="350">
        <v>0</v>
      </c>
      <c r="L308" s="350">
        <v>116</v>
      </c>
      <c r="M308" s="350">
        <v>233</v>
      </c>
      <c r="N308" s="445">
        <f>M308*1.33333</f>
        <v>310.66589</v>
      </c>
      <c r="O308" s="799">
        <f>N308*1.25</f>
        <v>388.3323625</v>
      </c>
      <c r="P308" s="358">
        <f t="shared" si="29"/>
        <v>1747</v>
      </c>
      <c r="Q308" s="27">
        <v>150</v>
      </c>
      <c r="R308" s="25">
        <v>0</v>
      </c>
      <c r="S308" s="25">
        <v>0</v>
      </c>
      <c r="T308" s="359"/>
    </row>
    <row r="309" spans="1:20" ht="12.75">
      <c r="A309" s="25">
        <v>972</v>
      </c>
      <c r="B309" s="26" t="s">
        <v>288</v>
      </c>
      <c r="C309" s="25">
        <v>1692</v>
      </c>
      <c r="D309" s="155">
        <v>76</v>
      </c>
      <c r="E309" s="155">
        <v>76</v>
      </c>
      <c r="F309" s="283">
        <f>IF(C309&lt;972,E309+44,E309)</f>
        <v>76</v>
      </c>
      <c r="G309" s="283">
        <v>76</v>
      </c>
      <c r="H309" s="283">
        <v>76</v>
      </c>
      <c r="I309" s="380">
        <f t="shared" si="31"/>
        <v>972</v>
      </c>
      <c r="J309" s="380">
        <v>76</v>
      </c>
      <c r="K309" s="350">
        <v>0</v>
      </c>
      <c r="L309" s="350">
        <v>136</v>
      </c>
      <c r="M309" s="350">
        <v>272</v>
      </c>
      <c r="N309" s="445">
        <f>M309*1.33333</f>
        <v>362.66576</v>
      </c>
      <c r="O309" s="799">
        <f>N309*1.25</f>
        <v>453.33219999999994</v>
      </c>
      <c r="P309" s="358">
        <f t="shared" si="29"/>
        <v>2040</v>
      </c>
      <c r="Q309" s="27">
        <v>17</v>
      </c>
      <c r="R309" s="25">
        <v>0</v>
      </c>
      <c r="S309" s="25">
        <v>0</v>
      </c>
      <c r="T309" s="359"/>
    </row>
    <row r="310" spans="1:20" ht="12.75">
      <c r="A310" s="25">
        <v>973</v>
      </c>
      <c r="B310" s="26" t="s">
        <v>289</v>
      </c>
      <c r="C310" s="25">
        <v>1592</v>
      </c>
      <c r="D310" s="155">
        <v>89</v>
      </c>
      <c r="E310" s="155">
        <v>89</v>
      </c>
      <c r="F310" s="283">
        <f>IF(C310&lt;972,E310+44,E310)</f>
        <v>89</v>
      </c>
      <c r="G310" s="283">
        <v>89</v>
      </c>
      <c r="H310" s="283">
        <v>89</v>
      </c>
      <c r="I310" s="380">
        <f t="shared" si="31"/>
        <v>973</v>
      </c>
      <c r="J310" s="380">
        <v>89</v>
      </c>
      <c r="K310" s="350">
        <v>0</v>
      </c>
      <c r="L310" s="350">
        <v>0</v>
      </c>
      <c r="M310" s="350">
        <v>233</v>
      </c>
      <c r="N310" s="445">
        <f>M310*1.33333</f>
        <v>310.66589</v>
      </c>
      <c r="O310" s="799">
        <f>N310*1.25</f>
        <v>388.3323625</v>
      </c>
      <c r="P310" s="358">
        <f t="shared" si="29"/>
        <v>1914</v>
      </c>
      <c r="Q310" s="27">
        <v>17</v>
      </c>
      <c r="R310" s="25">
        <v>0</v>
      </c>
      <c r="S310" s="25">
        <v>0</v>
      </c>
      <c r="T310" s="359"/>
    </row>
    <row r="311" spans="1:20" ht="12.75">
      <c r="A311" s="25">
        <v>974</v>
      </c>
      <c r="B311" s="26" t="s">
        <v>290</v>
      </c>
      <c r="C311" s="25">
        <v>1500</v>
      </c>
      <c r="D311" s="155">
        <v>101</v>
      </c>
      <c r="E311" s="155">
        <v>101</v>
      </c>
      <c r="F311" s="283">
        <f>IF(C311&lt;972,E311+44,E311)</f>
        <v>101</v>
      </c>
      <c r="G311" s="283">
        <v>101</v>
      </c>
      <c r="H311" s="283">
        <v>101</v>
      </c>
      <c r="I311" s="380">
        <f t="shared" si="31"/>
        <v>974</v>
      </c>
      <c r="J311" s="380">
        <v>101</v>
      </c>
      <c r="K311" s="350">
        <v>0</v>
      </c>
      <c r="L311" s="350">
        <v>0</v>
      </c>
      <c r="M311" s="350">
        <v>0</v>
      </c>
      <c r="N311" s="445">
        <f t="shared" si="30"/>
        <v>0</v>
      </c>
      <c r="O311" s="800">
        <f t="shared" si="30"/>
        <v>0</v>
      </c>
      <c r="P311" s="358">
        <f t="shared" si="29"/>
        <v>1601</v>
      </c>
      <c r="Q311" s="27">
        <v>150</v>
      </c>
      <c r="R311" s="25">
        <v>0</v>
      </c>
      <c r="S311" s="25">
        <v>0</v>
      </c>
      <c r="T311" s="359"/>
    </row>
    <row r="312" spans="1:20" ht="12.75">
      <c r="A312" s="25">
        <v>975</v>
      </c>
      <c r="B312" s="26" t="s">
        <v>291</v>
      </c>
      <c r="C312" s="25">
        <v>971</v>
      </c>
      <c r="D312" s="155">
        <v>170</v>
      </c>
      <c r="E312" s="381">
        <v>216</v>
      </c>
      <c r="F312" s="283">
        <v>261</v>
      </c>
      <c r="G312" s="350">
        <v>327</v>
      </c>
      <c r="H312" s="350">
        <v>350</v>
      </c>
      <c r="I312" s="380">
        <f t="shared" si="31"/>
        <v>975</v>
      </c>
      <c r="J312" s="380">
        <v>414.7</v>
      </c>
      <c r="K312" s="350">
        <v>0</v>
      </c>
      <c r="L312" s="350">
        <v>0</v>
      </c>
      <c r="M312" s="350">
        <v>0</v>
      </c>
      <c r="N312" s="445">
        <f t="shared" si="30"/>
        <v>0</v>
      </c>
      <c r="O312" s="800">
        <f t="shared" si="30"/>
        <v>0</v>
      </c>
      <c r="P312" s="358">
        <f t="shared" si="29"/>
        <v>1298</v>
      </c>
      <c r="Q312" s="27">
        <v>0</v>
      </c>
      <c r="R312" s="25">
        <v>0</v>
      </c>
      <c r="S312" s="25">
        <v>0</v>
      </c>
      <c r="T312" s="359"/>
    </row>
    <row r="313" spans="1:20" ht="12.75">
      <c r="A313" s="25">
        <v>976</v>
      </c>
      <c r="B313" s="26" t="s">
        <v>292</v>
      </c>
      <c r="C313" s="25">
        <v>971</v>
      </c>
      <c r="D313" s="155">
        <v>170</v>
      </c>
      <c r="E313" s="381">
        <v>216</v>
      </c>
      <c r="F313" s="283">
        <v>261</v>
      </c>
      <c r="G313" s="350">
        <v>327</v>
      </c>
      <c r="H313" s="350">
        <v>350</v>
      </c>
      <c r="I313" s="380">
        <f t="shared" si="31"/>
        <v>976</v>
      </c>
      <c r="J313" s="380">
        <v>414.7</v>
      </c>
      <c r="K313" s="350">
        <v>0</v>
      </c>
      <c r="L313" s="350">
        <v>0</v>
      </c>
      <c r="M313" s="350">
        <v>0</v>
      </c>
      <c r="N313" s="445">
        <f t="shared" si="30"/>
        <v>0</v>
      </c>
      <c r="O313" s="800">
        <f t="shared" si="30"/>
        <v>0</v>
      </c>
      <c r="P313" s="358">
        <f t="shared" si="29"/>
        <v>1298</v>
      </c>
      <c r="Q313" s="27">
        <v>0</v>
      </c>
      <c r="R313" s="25">
        <v>0</v>
      </c>
      <c r="S313" s="25">
        <v>0</v>
      </c>
      <c r="T313" s="359"/>
    </row>
    <row r="314" spans="1:20" ht="12.75">
      <c r="A314" s="25">
        <v>977</v>
      </c>
      <c r="B314" s="26" t="s">
        <v>293</v>
      </c>
      <c r="C314" s="25">
        <v>971</v>
      </c>
      <c r="D314" s="155">
        <v>170</v>
      </c>
      <c r="E314" s="381">
        <v>216</v>
      </c>
      <c r="F314" s="283">
        <v>261</v>
      </c>
      <c r="G314" s="350">
        <v>327</v>
      </c>
      <c r="H314" s="350">
        <v>350</v>
      </c>
      <c r="I314" s="380">
        <f t="shared" si="31"/>
        <v>977</v>
      </c>
      <c r="J314" s="380">
        <v>414.7</v>
      </c>
      <c r="K314" s="350">
        <v>0</v>
      </c>
      <c r="L314" s="350">
        <v>0</v>
      </c>
      <c r="M314" s="350">
        <v>0</v>
      </c>
      <c r="N314" s="445">
        <f t="shared" si="30"/>
        <v>0</v>
      </c>
      <c r="O314" s="800">
        <f t="shared" si="30"/>
        <v>0</v>
      </c>
      <c r="P314" s="358">
        <f t="shared" si="29"/>
        <v>1298</v>
      </c>
      <c r="Q314" s="27">
        <v>0</v>
      </c>
      <c r="R314" s="25">
        <v>0</v>
      </c>
      <c r="S314" s="25">
        <v>0</v>
      </c>
      <c r="T314" s="359"/>
    </row>
    <row r="315" spans="1:20" ht="12.75">
      <c r="A315" s="25">
        <v>978</v>
      </c>
      <c r="B315" s="26" t="s">
        <v>294</v>
      </c>
      <c r="C315" s="25">
        <v>1840</v>
      </c>
      <c r="D315" s="155">
        <v>57</v>
      </c>
      <c r="E315" s="155">
        <v>57</v>
      </c>
      <c r="F315" s="283">
        <f>IF(C315&lt;972,E315+44,E315)</f>
        <v>57</v>
      </c>
      <c r="G315" s="283">
        <v>57</v>
      </c>
      <c r="H315" s="283">
        <v>57</v>
      </c>
      <c r="I315" s="380">
        <f t="shared" si="31"/>
        <v>978</v>
      </c>
      <c r="J315" s="380">
        <v>57</v>
      </c>
      <c r="K315" s="350">
        <v>0</v>
      </c>
      <c r="L315" s="350">
        <v>194</v>
      </c>
      <c r="M315" s="350">
        <v>388</v>
      </c>
      <c r="N315" s="445">
        <f>M315*1.33333</f>
        <v>517.33204</v>
      </c>
      <c r="O315" s="799">
        <f>N315*1.25</f>
        <v>646.6650500000001</v>
      </c>
      <c r="P315" s="358">
        <f t="shared" si="29"/>
        <v>2285</v>
      </c>
      <c r="Q315" s="27">
        <v>0</v>
      </c>
      <c r="R315" s="25">
        <v>0</v>
      </c>
      <c r="S315" s="25">
        <v>0</v>
      </c>
      <c r="T315" s="359"/>
    </row>
    <row r="316" spans="1:20" ht="12.75">
      <c r="A316" s="25">
        <v>979</v>
      </c>
      <c r="B316" s="26" t="s">
        <v>444</v>
      </c>
      <c r="C316" s="25">
        <v>1400</v>
      </c>
      <c r="D316" s="155">
        <v>70</v>
      </c>
      <c r="E316" s="155">
        <v>70</v>
      </c>
      <c r="F316" s="283">
        <f>IF(C316&lt;972,E316+44,E316)</f>
        <v>70</v>
      </c>
      <c r="G316" s="283">
        <v>70</v>
      </c>
      <c r="H316" s="283">
        <v>70</v>
      </c>
      <c r="I316" s="380">
        <f t="shared" si="31"/>
        <v>979</v>
      </c>
      <c r="J316" s="380">
        <v>70</v>
      </c>
      <c r="K316" s="350">
        <v>0</v>
      </c>
      <c r="L316" s="350">
        <v>0</v>
      </c>
      <c r="M316" s="350">
        <v>233</v>
      </c>
      <c r="N316" s="445">
        <f>M316*1.33333</f>
        <v>310.66589</v>
      </c>
      <c r="O316" s="799">
        <f>N316*1.25</f>
        <v>388.3323625</v>
      </c>
      <c r="P316" s="358">
        <f t="shared" si="29"/>
        <v>1703</v>
      </c>
      <c r="Q316" s="27">
        <v>0</v>
      </c>
      <c r="R316" s="25">
        <v>0</v>
      </c>
      <c r="S316" s="25">
        <v>0</v>
      </c>
      <c r="T316" s="359"/>
    </row>
    <row r="317" spans="1:20" ht="12.75">
      <c r="A317" s="25">
        <v>980</v>
      </c>
      <c r="B317" s="26" t="s">
        <v>445</v>
      </c>
      <c r="C317" s="25">
        <v>1300</v>
      </c>
      <c r="D317" s="155">
        <v>222</v>
      </c>
      <c r="E317" s="155">
        <v>216</v>
      </c>
      <c r="F317" s="283">
        <v>261</v>
      </c>
      <c r="G317" s="283">
        <v>127</v>
      </c>
      <c r="H317" s="283">
        <v>127</v>
      </c>
      <c r="I317" s="380">
        <f t="shared" si="31"/>
        <v>980</v>
      </c>
      <c r="J317" s="380">
        <v>127</v>
      </c>
      <c r="K317" s="350">
        <v>0</v>
      </c>
      <c r="L317" s="350">
        <v>0</v>
      </c>
      <c r="M317" s="350">
        <v>233</v>
      </c>
      <c r="N317" s="445">
        <f>M317*1.33333</f>
        <v>310.66589</v>
      </c>
      <c r="O317" s="799">
        <f>N317*1.25</f>
        <v>388.3323625</v>
      </c>
      <c r="P317" s="358">
        <f t="shared" si="29"/>
        <v>1660</v>
      </c>
      <c r="Q317" s="27">
        <v>0</v>
      </c>
      <c r="R317" s="25">
        <v>0</v>
      </c>
      <c r="S317" s="25">
        <v>0</v>
      </c>
      <c r="T317" s="359"/>
    </row>
    <row r="318" spans="1:20" ht="12.75">
      <c r="A318" s="25">
        <v>981</v>
      </c>
      <c r="B318" s="26" t="s">
        <v>446</v>
      </c>
      <c r="C318" s="25">
        <v>1250</v>
      </c>
      <c r="D318" s="155">
        <v>64</v>
      </c>
      <c r="E318" s="155">
        <v>64</v>
      </c>
      <c r="F318" s="283">
        <f>IF(C318&lt;972,E318+44,E318)</f>
        <v>64</v>
      </c>
      <c r="G318" s="283">
        <v>134</v>
      </c>
      <c r="H318" s="283">
        <v>134</v>
      </c>
      <c r="I318" s="380">
        <f t="shared" si="31"/>
        <v>981</v>
      </c>
      <c r="J318" s="380">
        <v>134</v>
      </c>
      <c r="K318" s="350">
        <v>0</v>
      </c>
      <c r="L318" s="350">
        <v>194</v>
      </c>
      <c r="M318" s="350">
        <v>233</v>
      </c>
      <c r="N318" s="445">
        <f>M318*1.33333</f>
        <v>310.66589</v>
      </c>
      <c r="O318" s="799">
        <f>N318*1.25</f>
        <v>388.3323625</v>
      </c>
      <c r="P318" s="358">
        <f t="shared" si="29"/>
        <v>1617</v>
      </c>
      <c r="Q318" s="27">
        <v>0</v>
      </c>
      <c r="R318" s="25">
        <v>0</v>
      </c>
      <c r="S318" s="25">
        <v>0</v>
      </c>
      <c r="T318" s="359"/>
    </row>
    <row r="319" spans="1:20" ht="12.75">
      <c r="A319" s="25">
        <v>982</v>
      </c>
      <c r="B319" s="26" t="s">
        <v>295</v>
      </c>
      <c r="C319" s="25">
        <v>1740</v>
      </c>
      <c r="D319" s="155">
        <v>70</v>
      </c>
      <c r="E319" s="155">
        <v>70</v>
      </c>
      <c r="F319" s="283">
        <f>IF(C319&lt;972,E319+44,E319)</f>
        <v>70</v>
      </c>
      <c r="G319" s="283">
        <v>70</v>
      </c>
      <c r="H319" s="283">
        <v>70</v>
      </c>
      <c r="I319" s="380">
        <f t="shared" si="31"/>
        <v>982</v>
      </c>
      <c r="J319" s="380">
        <v>70</v>
      </c>
      <c r="K319" s="350">
        <v>0</v>
      </c>
      <c r="L319" s="350">
        <v>155</v>
      </c>
      <c r="M319" s="350">
        <v>310</v>
      </c>
      <c r="N319" s="445">
        <f>M319*1.33333</f>
        <v>413.3323</v>
      </c>
      <c r="O319" s="799">
        <f>N319*1.25</f>
        <v>516.6653749999999</v>
      </c>
      <c r="P319" s="358">
        <f t="shared" si="29"/>
        <v>2120</v>
      </c>
      <c r="Q319" s="27">
        <v>0</v>
      </c>
      <c r="R319" s="25">
        <v>0</v>
      </c>
      <c r="S319" s="25">
        <v>0</v>
      </c>
      <c r="T319" s="359"/>
    </row>
    <row r="320" spans="1:20" ht="12.75">
      <c r="A320" s="25">
        <v>983</v>
      </c>
      <c r="B320" s="26" t="s">
        <v>296</v>
      </c>
      <c r="C320" s="25">
        <v>1170</v>
      </c>
      <c r="D320" s="155">
        <v>144</v>
      </c>
      <c r="E320" s="155">
        <v>144</v>
      </c>
      <c r="F320" s="283">
        <f>IF(C320&lt;972,E320+44,E320)</f>
        <v>144</v>
      </c>
      <c r="G320" s="283">
        <v>144</v>
      </c>
      <c r="H320" s="283">
        <v>144</v>
      </c>
      <c r="I320" s="380">
        <f t="shared" si="31"/>
        <v>983</v>
      </c>
      <c r="J320" s="380">
        <v>144</v>
      </c>
      <c r="K320" s="350">
        <v>0</v>
      </c>
      <c r="L320" s="350">
        <v>0</v>
      </c>
      <c r="M320" s="350">
        <v>0</v>
      </c>
      <c r="N320" s="445">
        <f t="shared" si="30"/>
        <v>0</v>
      </c>
      <c r="O320" s="800">
        <f t="shared" si="30"/>
        <v>0</v>
      </c>
      <c r="P320" s="358">
        <f t="shared" si="29"/>
        <v>1314</v>
      </c>
      <c r="Q320" s="27">
        <v>0</v>
      </c>
      <c r="R320" s="25">
        <v>0</v>
      </c>
      <c r="S320" s="25">
        <v>0</v>
      </c>
      <c r="T320" s="359"/>
    </row>
    <row r="321" spans="1:20" ht="12.75">
      <c r="A321" s="25">
        <v>984</v>
      </c>
      <c r="B321" s="26" t="s">
        <v>297</v>
      </c>
      <c r="C321" s="25">
        <v>690</v>
      </c>
      <c r="D321" s="155">
        <v>207</v>
      </c>
      <c r="E321" s="381">
        <v>216</v>
      </c>
      <c r="F321" s="283">
        <v>261</v>
      </c>
      <c r="G321" s="350">
        <v>327</v>
      </c>
      <c r="H321" s="350">
        <v>350</v>
      </c>
      <c r="I321" s="380">
        <f t="shared" si="31"/>
        <v>984</v>
      </c>
      <c r="J321" s="380">
        <v>414.7</v>
      </c>
      <c r="K321" s="350">
        <v>0</v>
      </c>
      <c r="L321" s="350">
        <v>0</v>
      </c>
      <c r="M321" s="350">
        <v>0</v>
      </c>
      <c r="N321" s="445">
        <f t="shared" si="30"/>
        <v>0</v>
      </c>
      <c r="O321" s="800">
        <f t="shared" si="30"/>
        <v>0</v>
      </c>
      <c r="P321" s="358">
        <f t="shared" si="29"/>
        <v>1017</v>
      </c>
      <c r="Q321" s="27">
        <v>0</v>
      </c>
      <c r="R321" s="25">
        <v>0</v>
      </c>
      <c r="S321" s="25">
        <v>0</v>
      </c>
      <c r="T321" s="359"/>
    </row>
    <row r="322" spans="1:20" ht="12.75">
      <c r="A322" s="25">
        <v>985</v>
      </c>
      <c r="B322" s="26" t="s">
        <v>298</v>
      </c>
      <c r="C322" s="25">
        <v>2913</v>
      </c>
      <c r="D322" s="155">
        <v>0</v>
      </c>
      <c r="E322" s="155">
        <v>0</v>
      </c>
      <c r="F322" s="283">
        <f>IF(C322&lt;972,E322+44,E322)</f>
        <v>0</v>
      </c>
      <c r="G322" s="283">
        <v>0</v>
      </c>
      <c r="H322" s="283">
        <v>0</v>
      </c>
      <c r="I322" s="380">
        <f t="shared" si="31"/>
        <v>985</v>
      </c>
      <c r="J322" s="380">
        <v>0</v>
      </c>
      <c r="K322" s="350">
        <v>0</v>
      </c>
      <c r="L322" s="350">
        <v>0</v>
      </c>
      <c r="M322" s="350">
        <v>0</v>
      </c>
      <c r="N322" s="445">
        <f t="shared" si="30"/>
        <v>0</v>
      </c>
      <c r="O322" s="800">
        <f t="shared" si="30"/>
        <v>0</v>
      </c>
      <c r="P322" s="358">
        <f t="shared" si="29"/>
        <v>2913</v>
      </c>
      <c r="Q322" s="27">
        <v>0</v>
      </c>
      <c r="R322" s="25">
        <v>0</v>
      </c>
      <c r="S322" s="25">
        <v>0</v>
      </c>
      <c r="T322" s="359"/>
    </row>
    <row r="323" spans="1:20" ht="12.75">
      <c r="A323" s="25">
        <v>986</v>
      </c>
      <c r="B323" s="26" t="s">
        <v>299</v>
      </c>
      <c r="C323" s="25">
        <v>644</v>
      </c>
      <c r="D323" s="155">
        <v>213</v>
      </c>
      <c r="E323" s="381">
        <v>216</v>
      </c>
      <c r="F323" s="283">
        <v>261</v>
      </c>
      <c r="G323" s="350">
        <v>327</v>
      </c>
      <c r="H323" s="350">
        <v>350</v>
      </c>
      <c r="I323" s="380">
        <f t="shared" si="31"/>
        <v>986</v>
      </c>
      <c r="J323" s="380">
        <v>414.7</v>
      </c>
      <c r="K323" s="350">
        <v>0</v>
      </c>
      <c r="L323" s="350">
        <v>0</v>
      </c>
      <c r="M323" s="350">
        <v>0</v>
      </c>
      <c r="N323" s="445">
        <f t="shared" si="30"/>
        <v>0</v>
      </c>
      <c r="O323" s="800">
        <f t="shared" si="30"/>
        <v>0</v>
      </c>
      <c r="P323" s="358">
        <f t="shared" si="29"/>
        <v>971</v>
      </c>
      <c r="Q323" s="27">
        <v>0</v>
      </c>
      <c r="R323" s="25">
        <v>0</v>
      </c>
      <c r="S323" s="25">
        <v>0</v>
      </c>
      <c r="T323" s="359"/>
    </row>
    <row r="324" spans="1:20" ht="12.75">
      <c r="A324" s="25">
        <v>987</v>
      </c>
      <c r="B324" s="26" t="s">
        <v>155</v>
      </c>
      <c r="C324" s="25">
        <v>1170</v>
      </c>
      <c r="D324" s="155">
        <v>144</v>
      </c>
      <c r="E324" s="155">
        <v>144</v>
      </c>
      <c r="F324" s="283">
        <f aca="true" t="shared" si="35" ref="F324:F336">IF(C324&lt;972,E324+44,E324)</f>
        <v>144</v>
      </c>
      <c r="G324" s="283">
        <v>144</v>
      </c>
      <c r="H324" s="283">
        <v>144</v>
      </c>
      <c r="I324" s="380">
        <f t="shared" si="31"/>
        <v>987</v>
      </c>
      <c r="J324" s="380">
        <v>144</v>
      </c>
      <c r="K324" s="350">
        <v>0</v>
      </c>
      <c r="L324" s="350">
        <v>0</v>
      </c>
      <c r="M324" s="350">
        <v>0</v>
      </c>
      <c r="N324" s="445">
        <f t="shared" si="30"/>
        <v>0</v>
      </c>
      <c r="O324" s="800">
        <f t="shared" si="30"/>
        <v>0</v>
      </c>
      <c r="P324" s="358">
        <f aca="true" t="shared" si="36" ref="P324:P336">C324+G324+M324</f>
        <v>1314</v>
      </c>
      <c r="Q324" s="27">
        <v>0</v>
      </c>
      <c r="R324" s="25">
        <v>0</v>
      </c>
      <c r="S324" s="25">
        <v>0</v>
      </c>
      <c r="T324" s="359"/>
    </row>
    <row r="325" spans="1:20" ht="12.75">
      <c r="A325" s="25">
        <v>988</v>
      </c>
      <c r="B325" s="26" t="s">
        <v>300</v>
      </c>
      <c r="C325" s="25">
        <v>2600</v>
      </c>
      <c r="D325" s="155">
        <v>0</v>
      </c>
      <c r="E325" s="155">
        <v>0</v>
      </c>
      <c r="F325" s="283">
        <f t="shared" si="35"/>
        <v>0</v>
      </c>
      <c r="G325" s="283">
        <v>0</v>
      </c>
      <c r="H325" s="283">
        <v>0</v>
      </c>
      <c r="I325" s="380">
        <f t="shared" si="31"/>
        <v>988</v>
      </c>
      <c r="J325" s="380">
        <v>0</v>
      </c>
      <c r="K325" s="350">
        <v>0</v>
      </c>
      <c r="L325" s="350">
        <v>0</v>
      </c>
      <c r="M325" s="350">
        <v>0</v>
      </c>
      <c r="N325" s="445">
        <f aca="true" t="shared" si="37" ref="N325:O335">M325</f>
        <v>0</v>
      </c>
      <c r="O325" s="800">
        <f t="shared" si="37"/>
        <v>0</v>
      </c>
      <c r="P325" s="358">
        <f t="shared" si="36"/>
        <v>2600</v>
      </c>
      <c r="Q325" s="27">
        <v>0</v>
      </c>
      <c r="R325" s="25">
        <v>0</v>
      </c>
      <c r="S325" s="25">
        <v>0</v>
      </c>
      <c r="T325" s="359"/>
    </row>
    <row r="326" spans="1:20" ht="12.75">
      <c r="A326" s="25">
        <v>989</v>
      </c>
      <c r="B326" s="26" t="s">
        <v>301</v>
      </c>
      <c r="C326" s="25">
        <v>2840</v>
      </c>
      <c r="D326" s="155">
        <v>0</v>
      </c>
      <c r="E326" s="155">
        <v>0</v>
      </c>
      <c r="F326" s="283">
        <f t="shared" si="35"/>
        <v>0</v>
      </c>
      <c r="G326" s="283">
        <v>0</v>
      </c>
      <c r="H326" s="283">
        <v>0</v>
      </c>
      <c r="I326" s="380">
        <f t="shared" si="31"/>
        <v>989</v>
      </c>
      <c r="J326" s="380">
        <v>0</v>
      </c>
      <c r="K326" s="350">
        <v>0</v>
      </c>
      <c r="L326" s="350">
        <v>0</v>
      </c>
      <c r="M326" s="350">
        <v>0</v>
      </c>
      <c r="N326" s="445">
        <f t="shared" si="37"/>
        <v>0</v>
      </c>
      <c r="O326" s="800">
        <f t="shared" si="37"/>
        <v>0</v>
      </c>
      <c r="P326" s="358">
        <f t="shared" si="36"/>
        <v>2840</v>
      </c>
      <c r="Q326" s="27">
        <v>0</v>
      </c>
      <c r="R326" s="25">
        <v>0</v>
      </c>
      <c r="S326" s="25">
        <v>0</v>
      </c>
      <c r="T326" s="359"/>
    </row>
    <row r="327" spans="1:20" ht="12.75">
      <c r="A327" s="25">
        <v>990</v>
      </c>
      <c r="B327" s="26" t="s">
        <v>302</v>
      </c>
      <c r="C327" s="25">
        <v>2100</v>
      </c>
      <c r="D327" s="155">
        <v>23</v>
      </c>
      <c r="E327" s="155">
        <v>23</v>
      </c>
      <c r="F327" s="283">
        <f t="shared" si="35"/>
        <v>23</v>
      </c>
      <c r="G327" s="283">
        <v>23</v>
      </c>
      <c r="H327" s="283">
        <v>23</v>
      </c>
      <c r="I327" s="380">
        <f aca="true" t="shared" si="38" ref="I327:I336">A327</f>
        <v>990</v>
      </c>
      <c r="J327" s="380">
        <v>23</v>
      </c>
      <c r="K327" s="350">
        <v>0</v>
      </c>
      <c r="L327" s="350">
        <v>0</v>
      </c>
      <c r="M327" s="350">
        <v>0</v>
      </c>
      <c r="N327" s="445">
        <f t="shared" si="37"/>
        <v>0</v>
      </c>
      <c r="O327" s="800">
        <f t="shared" si="37"/>
        <v>0</v>
      </c>
      <c r="P327" s="358">
        <f t="shared" si="36"/>
        <v>2123</v>
      </c>
      <c r="Q327" s="27">
        <v>0</v>
      </c>
      <c r="R327" s="25">
        <v>0</v>
      </c>
      <c r="S327" s="25">
        <v>0</v>
      </c>
      <c r="T327" s="359"/>
    </row>
    <row r="328" spans="1:20" ht="12.75">
      <c r="A328" s="25">
        <v>991</v>
      </c>
      <c r="B328" s="26" t="s">
        <v>303</v>
      </c>
      <c r="C328" s="25">
        <v>1850</v>
      </c>
      <c r="D328" s="155">
        <v>55</v>
      </c>
      <c r="E328" s="155">
        <v>55</v>
      </c>
      <c r="F328" s="283">
        <f t="shared" si="35"/>
        <v>55</v>
      </c>
      <c r="G328" s="283">
        <v>55</v>
      </c>
      <c r="H328" s="283">
        <v>55</v>
      </c>
      <c r="I328" s="380">
        <f t="shared" si="38"/>
        <v>991</v>
      </c>
      <c r="J328" s="380">
        <v>55</v>
      </c>
      <c r="K328" s="350">
        <v>0</v>
      </c>
      <c r="L328" s="350">
        <v>0</v>
      </c>
      <c r="M328" s="350">
        <v>0</v>
      </c>
      <c r="N328" s="445">
        <f t="shared" si="37"/>
        <v>0</v>
      </c>
      <c r="O328" s="800">
        <f t="shared" si="37"/>
        <v>0</v>
      </c>
      <c r="P328" s="358">
        <f t="shared" si="36"/>
        <v>1905</v>
      </c>
      <c r="Q328" s="27">
        <v>0</v>
      </c>
      <c r="R328" s="25">
        <v>0</v>
      </c>
      <c r="S328" s="25">
        <v>0</v>
      </c>
      <c r="T328" s="359"/>
    </row>
    <row r="329" spans="1:20" ht="12.75">
      <c r="A329" s="25">
        <v>992</v>
      </c>
      <c r="B329" s="26" t="s">
        <v>447</v>
      </c>
      <c r="C329" s="25">
        <v>1500</v>
      </c>
      <c r="D329" s="155">
        <v>0</v>
      </c>
      <c r="E329" s="155">
        <v>0</v>
      </c>
      <c r="F329" s="283">
        <f t="shared" si="35"/>
        <v>0</v>
      </c>
      <c r="G329" s="283">
        <v>0</v>
      </c>
      <c r="H329" s="283">
        <v>0</v>
      </c>
      <c r="I329" s="380">
        <f t="shared" si="38"/>
        <v>992</v>
      </c>
      <c r="J329" s="380">
        <v>0</v>
      </c>
      <c r="K329" s="350">
        <v>0</v>
      </c>
      <c r="L329" s="350">
        <v>0</v>
      </c>
      <c r="M329" s="350">
        <v>233</v>
      </c>
      <c r="N329" s="445">
        <f>M329*1.33333</f>
        <v>310.66589</v>
      </c>
      <c r="O329" s="799">
        <f>N329*1.25</f>
        <v>388.3323625</v>
      </c>
      <c r="P329" s="358">
        <f t="shared" si="36"/>
        <v>1733</v>
      </c>
      <c r="Q329" s="27">
        <v>0</v>
      </c>
      <c r="R329" s="25">
        <v>0</v>
      </c>
      <c r="S329" s="25">
        <v>0</v>
      </c>
      <c r="T329" s="359"/>
    </row>
    <row r="330" spans="1:20" ht="12.75">
      <c r="A330" s="25">
        <v>993</v>
      </c>
      <c r="B330" s="26" t="s">
        <v>304</v>
      </c>
      <c r="C330" s="25">
        <v>2913</v>
      </c>
      <c r="D330" s="155">
        <v>0</v>
      </c>
      <c r="E330" s="155">
        <v>0</v>
      </c>
      <c r="F330" s="283">
        <f t="shared" si="35"/>
        <v>0</v>
      </c>
      <c r="G330" s="283">
        <v>0</v>
      </c>
      <c r="H330" s="283">
        <v>0</v>
      </c>
      <c r="I330" s="380">
        <f t="shared" si="38"/>
        <v>993</v>
      </c>
      <c r="J330" s="380">
        <v>0</v>
      </c>
      <c r="K330" s="350">
        <v>0</v>
      </c>
      <c r="L330" s="350">
        <v>0</v>
      </c>
      <c r="M330" s="350">
        <v>0</v>
      </c>
      <c r="N330" s="445">
        <f t="shared" si="37"/>
        <v>0</v>
      </c>
      <c r="O330" s="800">
        <f>N330</f>
        <v>0</v>
      </c>
      <c r="P330" s="358">
        <f t="shared" si="36"/>
        <v>2913</v>
      </c>
      <c r="Q330" s="27">
        <v>0</v>
      </c>
      <c r="R330" s="25">
        <v>0</v>
      </c>
      <c r="S330" s="25">
        <v>0</v>
      </c>
      <c r="T330" s="359"/>
    </row>
    <row r="331" spans="1:20" ht="14.25">
      <c r="A331" s="25">
        <v>994</v>
      </c>
      <c r="B331" s="26" t="s">
        <v>305</v>
      </c>
      <c r="C331" s="25">
        <v>1580</v>
      </c>
      <c r="D331" s="155">
        <v>90</v>
      </c>
      <c r="E331" s="155">
        <v>90</v>
      </c>
      <c r="F331" s="283">
        <f t="shared" si="35"/>
        <v>90</v>
      </c>
      <c r="G331" s="283">
        <v>90</v>
      </c>
      <c r="H331" s="283">
        <v>90</v>
      </c>
      <c r="I331" s="380">
        <f t="shared" si="38"/>
        <v>994</v>
      </c>
      <c r="J331" s="380">
        <v>90</v>
      </c>
      <c r="K331" s="350">
        <v>0</v>
      </c>
      <c r="L331" s="350">
        <v>0</v>
      </c>
      <c r="M331" s="376">
        <v>347.6</v>
      </c>
      <c r="N331" s="445">
        <f t="shared" si="37"/>
        <v>347.6</v>
      </c>
      <c r="O331" s="800">
        <f t="shared" si="37"/>
        <v>347.6</v>
      </c>
      <c r="P331" s="358">
        <f t="shared" si="36"/>
        <v>2017.6</v>
      </c>
      <c r="Q331" s="27">
        <v>0</v>
      </c>
      <c r="R331" s="25">
        <v>0</v>
      </c>
      <c r="S331" s="25">
        <v>0</v>
      </c>
      <c r="T331" s="359"/>
    </row>
    <row r="332" spans="1:20" ht="12.75">
      <c r="A332" s="25">
        <v>995</v>
      </c>
      <c r="B332" s="26" t="s">
        <v>306</v>
      </c>
      <c r="C332" s="25">
        <v>1564</v>
      </c>
      <c r="D332" s="155">
        <v>93</v>
      </c>
      <c r="E332" s="155">
        <v>93</v>
      </c>
      <c r="F332" s="283">
        <f t="shared" si="35"/>
        <v>93</v>
      </c>
      <c r="G332" s="283">
        <v>93</v>
      </c>
      <c r="H332" s="283">
        <v>93</v>
      </c>
      <c r="I332" s="380">
        <f t="shared" si="38"/>
        <v>995</v>
      </c>
      <c r="J332" s="380">
        <v>93</v>
      </c>
      <c r="K332" s="350">
        <v>0</v>
      </c>
      <c r="L332" s="350">
        <v>0</v>
      </c>
      <c r="M332" s="350">
        <v>0</v>
      </c>
      <c r="N332" s="445">
        <f t="shared" si="37"/>
        <v>0</v>
      </c>
      <c r="O332" s="800">
        <f t="shared" si="37"/>
        <v>0</v>
      </c>
      <c r="P332" s="358">
        <f t="shared" si="36"/>
        <v>1657</v>
      </c>
      <c r="Q332" s="27">
        <v>0</v>
      </c>
      <c r="R332" s="25">
        <v>0</v>
      </c>
      <c r="S332" s="25">
        <v>0</v>
      </c>
      <c r="T332" s="359"/>
    </row>
    <row r="333" spans="1:20" ht="12.75">
      <c r="A333" s="25">
        <v>996</v>
      </c>
      <c r="B333" s="26" t="s">
        <v>64</v>
      </c>
      <c r="C333" s="25">
        <v>1480</v>
      </c>
      <c r="D333" s="155">
        <v>104</v>
      </c>
      <c r="E333" s="155">
        <v>104</v>
      </c>
      <c r="F333" s="283">
        <f t="shared" si="35"/>
        <v>104</v>
      </c>
      <c r="G333" s="283">
        <v>104</v>
      </c>
      <c r="H333" s="283">
        <v>104</v>
      </c>
      <c r="I333" s="380">
        <f t="shared" si="38"/>
        <v>996</v>
      </c>
      <c r="J333" s="380">
        <v>104</v>
      </c>
      <c r="K333" s="350">
        <v>0</v>
      </c>
      <c r="L333" s="350">
        <v>0</v>
      </c>
      <c r="M333" s="350">
        <v>0</v>
      </c>
      <c r="N333" s="445">
        <f t="shared" si="37"/>
        <v>0</v>
      </c>
      <c r="O333" s="800">
        <f t="shared" si="37"/>
        <v>0</v>
      </c>
      <c r="P333" s="358">
        <f t="shared" si="36"/>
        <v>1584</v>
      </c>
      <c r="Q333" s="27">
        <v>0</v>
      </c>
      <c r="R333" s="25">
        <v>0</v>
      </c>
      <c r="S333" s="25">
        <v>0</v>
      </c>
      <c r="T333" s="359"/>
    </row>
    <row r="334" spans="1:20" ht="12.75">
      <c r="A334" s="25">
        <v>997</v>
      </c>
      <c r="B334" s="26" t="s">
        <v>307</v>
      </c>
      <c r="C334" s="25">
        <v>1564</v>
      </c>
      <c r="D334" s="155">
        <v>93</v>
      </c>
      <c r="E334" s="155">
        <v>93</v>
      </c>
      <c r="F334" s="283">
        <f t="shared" si="35"/>
        <v>93</v>
      </c>
      <c r="G334" s="283">
        <v>93</v>
      </c>
      <c r="H334" s="283">
        <v>93</v>
      </c>
      <c r="I334" s="380">
        <f t="shared" si="38"/>
        <v>997</v>
      </c>
      <c r="J334" s="380">
        <v>93</v>
      </c>
      <c r="K334" s="350">
        <v>0</v>
      </c>
      <c r="L334" s="350">
        <v>0</v>
      </c>
      <c r="M334" s="350">
        <v>0</v>
      </c>
      <c r="N334" s="445">
        <f t="shared" si="37"/>
        <v>0</v>
      </c>
      <c r="O334" s="800">
        <f t="shared" si="37"/>
        <v>0</v>
      </c>
      <c r="P334" s="358">
        <f t="shared" si="36"/>
        <v>1657</v>
      </c>
      <c r="Q334" s="27">
        <v>0</v>
      </c>
      <c r="R334" s="25">
        <v>0</v>
      </c>
      <c r="S334" s="25">
        <v>0</v>
      </c>
      <c r="T334" s="359"/>
    </row>
    <row r="335" spans="1:20" ht="12.75">
      <c r="A335" s="25">
        <v>998</v>
      </c>
      <c r="B335" s="26" t="s">
        <v>308</v>
      </c>
      <c r="C335" s="25">
        <v>2220</v>
      </c>
      <c r="D335" s="155">
        <v>7</v>
      </c>
      <c r="E335" s="155">
        <v>7</v>
      </c>
      <c r="F335" s="283">
        <f t="shared" si="35"/>
        <v>7</v>
      </c>
      <c r="G335" s="283">
        <v>7</v>
      </c>
      <c r="H335" s="283">
        <v>7</v>
      </c>
      <c r="I335" s="380">
        <f t="shared" si="38"/>
        <v>998</v>
      </c>
      <c r="J335" s="380">
        <v>7</v>
      </c>
      <c r="K335" s="350">
        <v>0</v>
      </c>
      <c r="L335" s="350">
        <v>0</v>
      </c>
      <c r="M335" s="350">
        <v>0</v>
      </c>
      <c r="N335" s="445">
        <f t="shared" si="37"/>
        <v>0</v>
      </c>
      <c r="O335" s="800">
        <f t="shared" si="37"/>
        <v>0</v>
      </c>
      <c r="P335" s="358">
        <f t="shared" si="36"/>
        <v>2227</v>
      </c>
      <c r="Q335" s="27">
        <v>0</v>
      </c>
      <c r="R335" s="25">
        <v>0</v>
      </c>
      <c r="S335" s="25">
        <v>0</v>
      </c>
      <c r="T335" s="359"/>
    </row>
    <row r="336" spans="1:20" s="399" customFormat="1" ht="12.75">
      <c r="A336" s="25">
        <v>999</v>
      </c>
      <c r="B336" s="26" t="s">
        <v>448</v>
      </c>
      <c r="C336" s="25">
        <v>1250</v>
      </c>
      <c r="D336" s="155">
        <v>0</v>
      </c>
      <c r="E336" s="155">
        <v>0</v>
      </c>
      <c r="F336" s="358">
        <f t="shared" si="35"/>
        <v>0</v>
      </c>
      <c r="G336" s="358">
        <v>134</v>
      </c>
      <c r="H336" s="358">
        <v>134</v>
      </c>
      <c r="I336" s="397">
        <f t="shared" si="38"/>
        <v>999</v>
      </c>
      <c r="J336" s="397">
        <v>134</v>
      </c>
      <c r="K336" s="398">
        <v>0</v>
      </c>
      <c r="L336" s="398">
        <v>0</v>
      </c>
      <c r="M336" s="398">
        <v>233</v>
      </c>
      <c r="N336" s="445">
        <f>M336*1.33333</f>
        <v>310.66589</v>
      </c>
      <c r="O336" s="799">
        <f>N336*1.25</f>
        <v>388.3323625</v>
      </c>
      <c r="P336" s="358">
        <f t="shared" si="36"/>
        <v>1617</v>
      </c>
      <c r="Q336" s="27">
        <v>0</v>
      </c>
      <c r="R336" s="25">
        <v>0</v>
      </c>
      <c r="S336" s="25">
        <v>0</v>
      </c>
      <c r="T336" s="359"/>
    </row>
    <row r="337" spans="1:19" s="168" customFormat="1" ht="12.75">
      <c r="A337" s="393"/>
      <c r="B337" s="394"/>
      <c r="C337" s="393"/>
      <c r="D337" s="395"/>
      <c r="E337" s="395"/>
      <c r="F337" s="395"/>
      <c r="G337" s="395"/>
      <c r="H337" s="395"/>
      <c r="I337" s="395"/>
      <c r="J337" s="395"/>
      <c r="K337" s="396"/>
      <c r="L337" s="396"/>
      <c r="M337" s="396"/>
      <c r="N337" s="396"/>
      <c r="O337" s="396"/>
      <c r="P337" s="395"/>
      <c r="Q337" s="393"/>
      <c r="R337" s="393"/>
      <c r="S337" s="393"/>
    </row>
    <row r="338" spans="1:19" s="168" customFormat="1" ht="12.75">
      <c r="A338" s="393"/>
      <c r="B338" s="394"/>
      <c r="C338" s="393"/>
      <c r="D338" s="395"/>
      <c r="E338" s="395"/>
      <c r="F338" s="395"/>
      <c r="G338" s="395"/>
      <c r="H338" s="395"/>
      <c r="I338" s="395"/>
      <c r="J338" s="395"/>
      <c r="K338" s="396"/>
      <c r="L338" s="396"/>
      <c r="M338" s="396"/>
      <c r="N338" s="396"/>
      <c r="O338" s="396"/>
      <c r="P338" s="395"/>
      <c r="Q338" s="393"/>
      <c r="R338" s="393"/>
      <c r="S338" s="393"/>
    </row>
  </sheetData>
  <sheetProtection password="DFB3" sheet="1" selectLockedCells="1"/>
  <hyperlinks>
    <hyperlink ref="B1" location="'recibo de sueldo'!A1" display="Volver al simulador"/>
  </hyperlink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T360"/>
  <sheetViews>
    <sheetView showGridLines="0" zoomScale="85" zoomScaleNormal="85" zoomScalePageLayoutView="0" workbookViewId="0" topLeftCell="A1">
      <pane ySplit="1" topLeftCell="A202" activePane="bottomLeft" state="frozen"/>
      <selection pane="topLeft" activeCell="C1" sqref="C1"/>
      <selection pane="bottomLeft" activeCell="I54" sqref="I54"/>
    </sheetView>
  </sheetViews>
  <sheetFormatPr defaultColWidth="11.421875" defaultRowHeight="12.75"/>
  <cols>
    <col min="1" max="2" width="3.28125" style="0" customWidth="1"/>
    <col min="3" max="3" width="4.28125" style="0" customWidth="1"/>
    <col min="4" max="4" width="13.00390625" style="0" customWidth="1"/>
    <col min="5" max="5" width="23.7109375" style="0" customWidth="1"/>
    <col min="6" max="6" width="25.57421875" style="0" customWidth="1"/>
    <col min="7" max="7" width="13.57421875" style="0" customWidth="1"/>
    <col min="8" max="8" width="13.421875" style="0" bestFit="1" customWidth="1"/>
    <col min="9" max="9" width="22.7109375" style="0" customWidth="1"/>
    <col min="10" max="10" width="19.28125" style="0" customWidth="1"/>
    <col min="11" max="11" width="8.421875" style="0" customWidth="1"/>
    <col min="12" max="12" width="6.57421875" style="0" bestFit="1" customWidth="1"/>
    <col min="13" max="13" width="23.28125" style="0" customWidth="1"/>
    <col min="14" max="14" width="20.8515625" style="0" customWidth="1"/>
    <col min="15" max="15" width="19.421875" style="0" customWidth="1"/>
    <col min="16" max="16" width="14.421875" style="0" customWidth="1"/>
  </cols>
  <sheetData>
    <row r="1" spans="1:8" s="146" customFormat="1" ht="18.75" thickBot="1">
      <c r="A1" s="318"/>
      <c r="B1" s="318"/>
      <c r="C1" s="319"/>
      <c r="D1" s="147" t="s">
        <v>341</v>
      </c>
      <c r="E1" s="148" t="s">
        <v>342</v>
      </c>
      <c r="F1" s="149" t="s">
        <v>343</v>
      </c>
      <c r="G1" s="150" t="s">
        <v>344</v>
      </c>
      <c r="H1" s="151" t="s">
        <v>345</v>
      </c>
    </row>
    <row r="2" spans="1:15" ht="18.75" thickTop="1">
      <c r="A2" s="101"/>
      <c r="B2" s="101"/>
      <c r="C2" s="210"/>
      <c r="D2" s="210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8">
      <c r="A3" s="101"/>
      <c r="B3" s="101"/>
      <c r="C3" s="211" t="s">
        <v>364</v>
      </c>
      <c r="D3" s="210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3:4" s="161" customFormat="1" ht="18.75" hidden="1" thickBot="1">
      <c r="C4" s="259"/>
      <c r="D4" s="260"/>
    </row>
    <row r="5" spans="3:4" s="101" customFormat="1" ht="21" thickBot="1">
      <c r="C5" s="211"/>
      <c r="D5" s="317" t="s">
        <v>384</v>
      </c>
    </row>
    <row r="6" spans="3:7" s="269" customFormat="1" ht="21" thickBot="1">
      <c r="C6" s="268"/>
      <c r="D6" s="270" t="s">
        <v>361</v>
      </c>
      <c r="E6" s="271"/>
      <c r="F6" s="280">
        <v>0.82</v>
      </c>
      <c r="G6" s="279" t="s">
        <v>366</v>
      </c>
    </row>
    <row r="7" spans="3:4" s="161" customFormat="1" ht="18" hidden="1">
      <c r="C7" s="259"/>
      <c r="D7" s="260"/>
    </row>
    <row r="8" spans="3:4" s="161" customFormat="1" ht="18" hidden="1">
      <c r="C8" s="259"/>
      <c r="D8" s="260"/>
    </row>
    <row r="9" spans="1:15" ht="18">
      <c r="A9" s="101"/>
      <c r="B9" s="101"/>
      <c r="C9" s="211"/>
      <c r="D9" s="210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</row>
    <row r="10" spans="6:20" ht="16.5" hidden="1" thickBot="1">
      <c r="F10" t="s">
        <v>345</v>
      </c>
      <c r="G10" s="10" t="s">
        <v>347</v>
      </c>
      <c r="H10" s="10" t="s">
        <v>348</v>
      </c>
      <c r="I10" s="94" t="s">
        <v>349</v>
      </c>
      <c r="J10" s="94" t="s">
        <v>350</v>
      </c>
      <c r="K10" s="94" t="s">
        <v>351</v>
      </c>
      <c r="L10" s="94" t="s">
        <v>352</v>
      </c>
      <c r="M10" s="94" t="s">
        <v>353</v>
      </c>
      <c r="N10" s="94" t="s">
        <v>354</v>
      </c>
      <c r="O10" s="96" t="s">
        <v>355</v>
      </c>
      <c r="P10" s="96">
        <v>1</v>
      </c>
      <c r="Q10" s="96">
        <v>2</v>
      </c>
      <c r="R10" s="96">
        <v>3</v>
      </c>
      <c r="S10" s="96">
        <v>4</v>
      </c>
      <c r="T10" s="96">
        <v>5</v>
      </c>
    </row>
    <row r="11" spans="1:20" ht="15.75" hidden="1">
      <c r="A11">
        <v>1</v>
      </c>
      <c r="E11" s="87">
        <v>0</v>
      </c>
      <c r="F11" s="261" t="e">
        <f aca="true" t="shared" si="0" ref="F11:F22">IF(puntosproljorvarios1&lt;620,T11,O11)</f>
        <v>#NAME?</v>
      </c>
      <c r="G11" s="257">
        <v>409</v>
      </c>
      <c r="H11" s="257">
        <v>99</v>
      </c>
      <c r="I11" s="257">
        <v>0</v>
      </c>
      <c r="J11" s="257">
        <v>0</v>
      </c>
      <c r="K11" s="257">
        <v>0</v>
      </c>
      <c r="L11" s="257">
        <v>0</v>
      </c>
      <c r="M11" s="257">
        <v>99</v>
      </c>
      <c r="N11" s="257">
        <v>99</v>
      </c>
      <c r="O11" s="97">
        <f>IF(punbasjubvarios1&gt;971,N11,M11)</f>
        <v>99</v>
      </c>
      <c r="P11" s="97">
        <f aca="true" t="shared" si="1" ref="P11:P22">IF(punbasjubvarios1&lt;972,G11,H11)</f>
        <v>99</v>
      </c>
      <c r="Q11" s="97">
        <f aca="true" t="shared" si="2" ref="Q11:Q22">IF(punbasjubvarios1&lt;1170,P11,I11)</f>
        <v>0</v>
      </c>
      <c r="R11" s="97">
        <f aca="true" t="shared" si="3" ref="R11:R22">IF(punbasjubvarios1&lt;1401,Q11,J11)</f>
        <v>0</v>
      </c>
      <c r="S11" s="97">
        <f aca="true" t="shared" si="4" ref="S11:S22">IF(punbasjubvarios1&lt;1943,R11,K11)</f>
        <v>0</v>
      </c>
      <c r="T11" s="97">
        <f aca="true" t="shared" si="5" ref="T11:T22">IF(punbasjubvarios1&lt;=2220,S11,L11)</f>
        <v>0</v>
      </c>
    </row>
    <row r="12" spans="1:20" ht="15.75" hidden="1">
      <c r="A12">
        <v>1</v>
      </c>
      <c r="E12" s="88">
        <v>0.1</v>
      </c>
      <c r="F12" s="261" t="e">
        <f t="shared" si="0"/>
        <v>#NAME?</v>
      </c>
      <c r="G12" s="257">
        <v>581</v>
      </c>
      <c r="H12" s="257">
        <v>112</v>
      </c>
      <c r="I12" s="257">
        <v>0</v>
      </c>
      <c r="J12" s="257">
        <v>0</v>
      </c>
      <c r="K12" s="257">
        <v>0</v>
      </c>
      <c r="L12" s="257">
        <v>0</v>
      </c>
      <c r="M12" s="257">
        <v>112</v>
      </c>
      <c r="N12" s="257">
        <v>112</v>
      </c>
      <c r="O12" s="97">
        <f aca="true" t="shared" si="6" ref="O12:O22">IF(punbasjubvarios1&gt;971,N12,M12)</f>
        <v>112</v>
      </c>
      <c r="P12" s="97">
        <f t="shared" si="1"/>
        <v>112</v>
      </c>
      <c r="Q12" s="97">
        <f t="shared" si="2"/>
        <v>0</v>
      </c>
      <c r="R12" s="97">
        <f t="shared" si="3"/>
        <v>0</v>
      </c>
      <c r="S12" s="97">
        <f t="shared" si="4"/>
        <v>0</v>
      </c>
      <c r="T12" s="97">
        <f t="shared" si="5"/>
        <v>0</v>
      </c>
    </row>
    <row r="13" spans="1:20" ht="15.75" hidden="1">
      <c r="A13">
        <v>1</v>
      </c>
      <c r="E13" s="89">
        <v>0.15</v>
      </c>
      <c r="F13" s="261" t="e">
        <f t="shared" si="0"/>
        <v>#NAME?</v>
      </c>
      <c r="G13" s="257">
        <v>705</v>
      </c>
      <c r="H13" s="257">
        <v>224</v>
      </c>
      <c r="I13" s="257">
        <v>298</v>
      </c>
      <c r="J13" s="257">
        <v>240</v>
      </c>
      <c r="K13" s="257">
        <v>224</v>
      </c>
      <c r="L13" s="257">
        <v>0</v>
      </c>
      <c r="M13" s="257">
        <v>273</v>
      </c>
      <c r="N13" s="257">
        <v>273</v>
      </c>
      <c r="O13" s="97">
        <f t="shared" si="6"/>
        <v>273</v>
      </c>
      <c r="P13" s="97">
        <f t="shared" si="1"/>
        <v>224</v>
      </c>
      <c r="Q13" s="97">
        <f t="shared" si="2"/>
        <v>298</v>
      </c>
      <c r="R13" s="97">
        <f t="shared" si="3"/>
        <v>298</v>
      </c>
      <c r="S13" s="97">
        <f t="shared" si="4"/>
        <v>298</v>
      </c>
      <c r="T13" s="97">
        <f t="shared" si="5"/>
        <v>298</v>
      </c>
    </row>
    <row r="14" spans="1:20" ht="15.75" hidden="1">
      <c r="A14">
        <v>1</v>
      </c>
      <c r="E14" s="89">
        <v>0.3</v>
      </c>
      <c r="F14" s="261" t="e">
        <f t="shared" si="0"/>
        <v>#NAME?</v>
      </c>
      <c r="G14" s="257">
        <v>733</v>
      </c>
      <c r="H14" s="257">
        <v>242</v>
      </c>
      <c r="I14" s="257">
        <v>298</v>
      </c>
      <c r="J14" s="257">
        <v>240</v>
      </c>
      <c r="K14" s="257">
        <v>224</v>
      </c>
      <c r="L14" s="257">
        <v>0</v>
      </c>
      <c r="M14" s="257">
        <v>472</v>
      </c>
      <c r="N14" s="257">
        <v>435</v>
      </c>
      <c r="O14" s="97">
        <f t="shared" si="6"/>
        <v>435</v>
      </c>
      <c r="P14" s="97">
        <f t="shared" si="1"/>
        <v>242</v>
      </c>
      <c r="Q14" s="97">
        <f t="shared" si="2"/>
        <v>298</v>
      </c>
      <c r="R14" s="97">
        <f t="shared" si="3"/>
        <v>298</v>
      </c>
      <c r="S14" s="97">
        <f t="shared" si="4"/>
        <v>298</v>
      </c>
      <c r="T14" s="97">
        <f t="shared" si="5"/>
        <v>298</v>
      </c>
    </row>
    <row r="15" spans="1:20" ht="15.75" hidden="1">
      <c r="A15">
        <v>1</v>
      </c>
      <c r="E15" s="89">
        <v>0.4</v>
      </c>
      <c r="F15" s="261" t="e">
        <f t="shared" si="0"/>
        <v>#NAME?</v>
      </c>
      <c r="G15" s="257">
        <v>796</v>
      </c>
      <c r="H15" s="257">
        <v>261</v>
      </c>
      <c r="I15" s="257">
        <v>311</v>
      </c>
      <c r="J15" s="257">
        <v>248</v>
      </c>
      <c r="K15" s="257">
        <v>224</v>
      </c>
      <c r="L15" s="257">
        <v>174</v>
      </c>
      <c r="M15" s="257">
        <v>546</v>
      </c>
      <c r="N15" s="257">
        <v>497</v>
      </c>
      <c r="O15" s="97">
        <f t="shared" si="6"/>
        <v>497</v>
      </c>
      <c r="P15" s="97">
        <f t="shared" si="1"/>
        <v>261</v>
      </c>
      <c r="Q15" s="97">
        <f t="shared" si="2"/>
        <v>311</v>
      </c>
      <c r="R15" s="97">
        <f t="shared" si="3"/>
        <v>311</v>
      </c>
      <c r="S15" s="97">
        <f t="shared" si="4"/>
        <v>311</v>
      </c>
      <c r="T15" s="97">
        <f t="shared" si="5"/>
        <v>311</v>
      </c>
    </row>
    <row r="16" spans="1:20" ht="15.75" hidden="1">
      <c r="A16">
        <v>1</v>
      </c>
      <c r="E16" s="89">
        <v>0.5</v>
      </c>
      <c r="F16" s="261" t="e">
        <f t="shared" si="0"/>
        <v>#NAME?</v>
      </c>
      <c r="G16" s="257">
        <v>575</v>
      </c>
      <c r="H16" s="257">
        <v>286</v>
      </c>
      <c r="I16" s="257">
        <v>311</v>
      </c>
      <c r="J16" s="257">
        <v>248</v>
      </c>
      <c r="K16" s="257">
        <v>224</v>
      </c>
      <c r="L16" s="257">
        <v>174</v>
      </c>
      <c r="M16" s="257">
        <v>590</v>
      </c>
      <c r="N16" s="257">
        <v>540</v>
      </c>
      <c r="O16" s="97">
        <f t="shared" si="6"/>
        <v>540</v>
      </c>
      <c r="P16" s="97">
        <f t="shared" si="1"/>
        <v>286</v>
      </c>
      <c r="Q16" s="97">
        <f t="shared" si="2"/>
        <v>311</v>
      </c>
      <c r="R16" s="97">
        <f t="shared" si="3"/>
        <v>311</v>
      </c>
      <c r="S16" s="97">
        <f t="shared" si="4"/>
        <v>311</v>
      </c>
      <c r="T16" s="97">
        <f t="shared" si="5"/>
        <v>311</v>
      </c>
    </row>
    <row r="17" spans="1:20" ht="15.75" hidden="1">
      <c r="A17">
        <v>1</v>
      </c>
      <c r="E17" s="89">
        <v>0.6</v>
      </c>
      <c r="F17" s="261" t="e">
        <f t="shared" si="0"/>
        <v>#NAME?</v>
      </c>
      <c r="G17" s="257">
        <v>578</v>
      </c>
      <c r="H17" s="257">
        <v>323</v>
      </c>
      <c r="I17" s="257">
        <v>323</v>
      </c>
      <c r="J17" s="257">
        <v>252</v>
      </c>
      <c r="K17" s="257">
        <v>236</v>
      </c>
      <c r="L17" s="257">
        <v>199</v>
      </c>
      <c r="M17" s="257">
        <v>633</v>
      </c>
      <c r="N17" s="257">
        <v>559</v>
      </c>
      <c r="O17" s="97">
        <f t="shared" si="6"/>
        <v>559</v>
      </c>
      <c r="P17" s="97">
        <f t="shared" si="1"/>
        <v>323</v>
      </c>
      <c r="Q17" s="97">
        <f t="shared" si="2"/>
        <v>323</v>
      </c>
      <c r="R17" s="97">
        <f t="shared" si="3"/>
        <v>323</v>
      </c>
      <c r="S17" s="97">
        <f t="shared" si="4"/>
        <v>323</v>
      </c>
      <c r="T17" s="97">
        <f t="shared" si="5"/>
        <v>323</v>
      </c>
    </row>
    <row r="18" spans="1:20" ht="15.75" hidden="1">
      <c r="A18">
        <v>1</v>
      </c>
      <c r="E18" s="89">
        <v>0.7</v>
      </c>
      <c r="F18" s="261" t="e">
        <f t="shared" si="0"/>
        <v>#NAME?</v>
      </c>
      <c r="G18" s="257">
        <v>553</v>
      </c>
      <c r="H18" s="257">
        <v>354</v>
      </c>
      <c r="I18" s="257">
        <v>453</v>
      </c>
      <c r="J18" s="257">
        <v>286</v>
      </c>
      <c r="K18" s="257">
        <v>236</v>
      </c>
      <c r="L18" s="257">
        <v>199</v>
      </c>
      <c r="M18" s="257">
        <v>652</v>
      </c>
      <c r="N18" s="257">
        <v>578</v>
      </c>
      <c r="O18" s="97">
        <f t="shared" si="6"/>
        <v>578</v>
      </c>
      <c r="P18" s="97">
        <f t="shared" si="1"/>
        <v>354</v>
      </c>
      <c r="Q18" s="97">
        <f t="shared" si="2"/>
        <v>453</v>
      </c>
      <c r="R18" s="97">
        <f t="shared" si="3"/>
        <v>453</v>
      </c>
      <c r="S18" s="97">
        <f t="shared" si="4"/>
        <v>453</v>
      </c>
      <c r="T18" s="97">
        <f t="shared" si="5"/>
        <v>453</v>
      </c>
    </row>
    <row r="19" spans="1:20" ht="15.75" hidden="1">
      <c r="A19">
        <v>1</v>
      </c>
      <c r="E19" s="89">
        <v>0.8</v>
      </c>
      <c r="F19" s="261" t="e">
        <f t="shared" si="0"/>
        <v>#NAME?</v>
      </c>
      <c r="G19" s="257">
        <v>664</v>
      </c>
      <c r="H19" s="257">
        <v>428</v>
      </c>
      <c r="I19" s="257">
        <v>491</v>
      </c>
      <c r="J19" s="257">
        <v>422</v>
      </c>
      <c r="K19" s="257">
        <v>348</v>
      </c>
      <c r="L19" s="257">
        <v>224</v>
      </c>
      <c r="M19" s="257">
        <v>689</v>
      </c>
      <c r="N19" s="257">
        <v>590</v>
      </c>
      <c r="O19" s="97">
        <f t="shared" si="6"/>
        <v>590</v>
      </c>
      <c r="P19" s="97">
        <f t="shared" si="1"/>
        <v>428</v>
      </c>
      <c r="Q19" s="97">
        <f t="shared" si="2"/>
        <v>491</v>
      </c>
      <c r="R19" s="97">
        <f t="shared" si="3"/>
        <v>491</v>
      </c>
      <c r="S19" s="97">
        <f t="shared" si="4"/>
        <v>491</v>
      </c>
      <c r="T19" s="97">
        <f t="shared" si="5"/>
        <v>491</v>
      </c>
    </row>
    <row r="20" spans="1:20" ht="15.75" hidden="1">
      <c r="A20">
        <v>1</v>
      </c>
      <c r="E20" s="89">
        <v>1</v>
      </c>
      <c r="F20" s="261" t="e">
        <f t="shared" si="0"/>
        <v>#NAME?</v>
      </c>
      <c r="G20" s="257">
        <v>826</v>
      </c>
      <c r="H20" s="257">
        <v>540</v>
      </c>
      <c r="I20" s="257">
        <v>509</v>
      </c>
      <c r="J20" s="257">
        <v>410</v>
      </c>
      <c r="K20" s="257">
        <v>385</v>
      </c>
      <c r="L20" s="257">
        <v>224</v>
      </c>
      <c r="M20" s="257">
        <v>733</v>
      </c>
      <c r="N20" s="257">
        <v>609</v>
      </c>
      <c r="O20" s="97">
        <f t="shared" si="6"/>
        <v>609</v>
      </c>
      <c r="P20" s="97">
        <f t="shared" si="1"/>
        <v>540</v>
      </c>
      <c r="Q20" s="97">
        <f t="shared" si="2"/>
        <v>509</v>
      </c>
      <c r="R20" s="97">
        <f t="shared" si="3"/>
        <v>509</v>
      </c>
      <c r="S20" s="97">
        <f t="shared" si="4"/>
        <v>509</v>
      </c>
      <c r="T20" s="97">
        <f t="shared" si="5"/>
        <v>509</v>
      </c>
    </row>
    <row r="21" spans="1:20" ht="15.75" hidden="1">
      <c r="A21">
        <v>1</v>
      </c>
      <c r="E21" s="89">
        <v>1.1</v>
      </c>
      <c r="F21" s="261" t="e">
        <f t="shared" si="0"/>
        <v>#NAME?</v>
      </c>
      <c r="G21" s="257">
        <v>925</v>
      </c>
      <c r="H21" s="257">
        <v>615</v>
      </c>
      <c r="I21" s="257">
        <v>534</v>
      </c>
      <c r="J21" s="257">
        <v>410</v>
      </c>
      <c r="K21" s="257">
        <v>397</v>
      </c>
      <c r="L21" s="257">
        <v>236</v>
      </c>
      <c r="M21" s="257">
        <v>764</v>
      </c>
      <c r="N21" s="257">
        <v>627</v>
      </c>
      <c r="O21" s="97">
        <f t="shared" si="6"/>
        <v>627</v>
      </c>
      <c r="P21" s="97">
        <f t="shared" si="1"/>
        <v>615</v>
      </c>
      <c r="Q21" s="97">
        <f t="shared" si="2"/>
        <v>534</v>
      </c>
      <c r="R21" s="97">
        <f t="shared" si="3"/>
        <v>534</v>
      </c>
      <c r="S21" s="97">
        <f t="shared" si="4"/>
        <v>534</v>
      </c>
      <c r="T21" s="97">
        <f t="shared" si="5"/>
        <v>534</v>
      </c>
    </row>
    <row r="22" spans="1:20" ht="16.5" hidden="1" thickBot="1">
      <c r="A22">
        <v>1</v>
      </c>
      <c r="E22" s="90">
        <v>1.2</v>
      </c>
      <c r="F22" s="261" t="e">
        <f t="shared" si="0"/>
        <v>#NAME?</v>
      </c>
      <c r="G22" s="257">
        <v>956</v>
      </c>
      <c r="H22" s="257">
        <v>633</v>
      </c>
      <c r="I22" s="257">
        <v>596</v>
      </c>
      <c r="J22" s="257">
        <v>416</v>
      </c>
      <c r="K22" s="257">
        <v>410</v>
      </c>
      <c r="L22" s="257">
        <v>236</v>
      </c>
      <c r="M22" s="257">
        <v>770</v>
      </c>
      <c r="N22" s="257">
        <v>633</v>
      </c>
      <c r="O22" s="97">
        <f t="shared" si="6"/>
        <v>633</v>
      </c>
      <c r="P22" s="97">
        <f t="shared" si="1"/>
        <v>633</v>
      </c>
      <c r="Q22" s="97">
        <f t="shared" si="2"/>
        <v>596</v>
      </c>
      <c r="R22" s="97">
        <f t="shared" si="3"/>
        <v>596</v>
      </c>
      <c r="S22" s="97">
        <f t="shared" si="4"/>
        <v>596</v>
      </c>
      <c r="T22" s="97">
        <f t="shared" si="5"/>
        <v>596</v>
      </c>
    </row>
    <row r="23" spans="5:20" s="161" customFormat="1" ht="15.75" hidden="1">
      <c r="E23" s="162"/>
      <c r="F23" s="104"/>
      <c r="G23" s="104"/>
      <c r="H23" s="163"/>
      <c r="I23" s="164"/>
      <c r="J23" s="164"/>
      <c r="K23" s="104"/>
      <c r="L23" s="11"/>
      <c r="M23" s="95"/>
      <c r="N23" s="95"/>
      <c r="O23" s="95"/>
      <c r="P23" s="95"/>
      <c r="Q23" s="95"/>
      <c r="R23" s="95"/>
      <c r="S23" s="95"/>
      <c r="T23" s="95"/>
    </row>
    <row r="24" spans="5:20" s="161" customFormat="1" ht="15.75" hidden="1">
      <c r="E24" s="162"/>
      <c r="F24" s="104" t="s">
        <v>375</v>
      </c>
      <c r="G24" s="104" t="e">
        <f>LOOKUP(F56,porantvar1,cod06cargosvar1feb11)</f>
        <v>#NAME?</v>
      </c>
      <c r="H24" s="163"/>
      <c r="I24" s="164"/>
      <c r="J24" s="164"/>
      <c r="K24" s="104"/>
      <c r="L24" s="11"/>
      <c r="M24" s="95"/>
      <c r="N24" s="95"/>
      <c r="O24" s="95"/>
      <c r="P24" s="95"/>
      <c r="Q24" s="95"/>
      <c r="R24" s="95"/>
      <c r="S24" s="95"/>
      <c r="T24" s="95"/>
    </row>
    <row r="25" spans="5:20" s="161" customFormat="1" ht="15.75" hidden="1">
      <c r="E25" s="162"/>
      <c r="F25" s="104"/>
      <c r="G25" s="104"/>
      <c r="H25" s="163"/>
      <c r="I25" s="164"/>
      <c r="J25" s="164"/>
      <c r="K25" s="104"/>
      <c r="L25" s="11"/>
      <c r="M25" s="95"/>
      <c r="N25" s="95"/>
      <c r="O25" s="95"/>
      <c r="P25" s="95"/>
      <c r="Q25" s="95"/>
      <c r="R25" s="95"/>
      <c r="S25" s="95"/>
      <c r="T25" s="95"/>
    </row>
    <row r="26" spans="5:20" s="161" customFormat="1" ht="16.5" hidden="1" thickBot="1">
      <c r="E26"/>
      <c r="F26" t="s">
        <v>345</v>
      </c>
      <c r="G26" s="10" t="s">
        <v>347</v>
      </c>
      <c r="H26" s="10" t="s">
        <v>348</v>
      </c>
      <c r="I26" s="94" t="s">
        <v>349</v>
      </c>
      <c r="J26" s="94" t="s">
        <v>350</v>
      </c>
      <c r="K26" s="94" t="s">
        <v>351</v>
      </c>
      <c r="L26" s="94" t="s">
        <v>352</v>
      </c>
      <c r="M26" s="94" t="s">
        <v>353</v>
      </c>
      <c r="N26" s="94" t="s">
        <v>354</v>
      </c>
      <c r="O26" s="96" t="s">
        <v>355</v>
      </c>
      <c r="P26" s="96">
        <v>1</v>
      </c>
      <c r="Q26" s="96">
        <v>2</v>
      </c>
      <c r="R26" s="96">
        <v>3</v>
      </c>
      <c r="S26" s="96">
        <v>4</v>
      </c>
      <c r="T26" s="96">
        <v>5</v>
      </c>
    </row>
    <row r="27" spans="1:20" s="161" customFormat="1" ht="15.75" hidden="1">
      <c r="A27" s="161">
        <v>1</v>
      </c>
      <c r="E27" s="87">
        <v>0</v>
      </c>
      <c r="F27" s="261" t="e">
        <f aca="true" t="shared" si="7" ref="F27:F38">IF(puntosproljorvarios1&lt;620,T27,O27)</f>
        <v>#NAME?</v>
      </c>
      <c r="G27" s="10">
        <v>499</v>
      </c>
      <c r="H27" s="10">
        <v>121</v>
      </c>
      <c r="I27" s="10">
        <v>0</v>
      </c>
      <c r="J27" s="10">
        <v>0</v>
      </c>
      <c r="K27" s="10">
        <v>0</v>
      </c>
      <c r="L27" s="10">
        <v>0</v>
      </c>
      <c r="M27" s="10">
        <v>121</v>
      </c>
      <c r="N27" s="10">
        <v>121</v>
      </c>
      <c r="O27" s="97">
        <f>IF(punbasjubvarios1&gt;971,N27,M27)</f>
        <v>121</v>
      </c>
      <c r="P27" s="97">
        <f aca="true" t="shared" si="8" ref="P27:P38">IF(punbasjubvarios1&lt;972,G27,H27)</f>
        <v>121</v>
      </c>
      <c r="Q27" s="97">
        <f aca="true" t="shared" si="9" ref="Q27:Q38">IF(punbasjubvarios1&lt;1170,P27,I27)</f>
        <v>0</v>
      </c>
      <c r="R27" s="97">
        <f aca="true" t="shared" si="10" ref="R27:R38">IF(punbasjubvarios1&lt;1401,Q27,J27)</f>
        <v>0</v>
      </c>
      <c r="S27" s="97">
        <f aca="true" t="shared" si="11" ref="S27:S38">IF(punbasjubvarios1&lt;1943,R27,K27)</f>
        <v>0</v>
      </c>
      <c r="T27" s="97">
        <f aca="true" t="shared" si="12" ref="T27:T38">IF(punbasjubvarios1&lt;=2220,S27,L27)</f>
        <v>0</v>
      </c>
    </row>
    <row r="28" spans="1:20" s="161" customFormat="1" ht="15.75" hidden="1">
      <c r="A28" s="161">
        <v>1</v>
      </c>
      <c r="E28" s="88">
        <v>0.1</v>
      </c>
      <c r="F28" s="261" t="e">
        <f t="shared" si="7"/>
        <v>#NAME?</v>
      </c>
      <c r="G28" s="10">
        <v>709</v>
      </c>
      <c r="H28" s="10">
        <v>137</v>
      </c>
      <c r="I28" s="10">
        <v>0</v>
      </c>
      <c r="J28" s="10">
        <v>0</v>
      </c>
      <c r="K28" s="10">
        <v>0</v>
      </c>
      <c r="L28" s="10">
        <v>0</v>
      </c>
      <c r="M28" s="10">
        <v>137</v>
      </c>
      <c r="N28" s="10">
        <v>137</v>
      </c>
      <c r="O28" s="97">
        <f aca="true" t="shared" si="13" ref="O28:O38">IF(punbasjubvarios1&gt;971,N28,M28)</f>
        <v>137</v>
      </c>
      <c r="P28" s="97">
        <f t="shared" si="8"/>
        <v>137</v>
      </c>
      <c r="Q28" s="97">
        <f t="shared" si="9"/>
        <v>0</v>
      </c>
      <c r="R28" s="97">
        <f t="shared" si="10"/>
        <v>0</v>
      </c>
      <c r="S28" s="97">
        <f t="shared" si="11"/>
        <v>0</v>
      </c>
      <c r="T28" s="97">
        <f t="shared" si="12"/>
        <v>0</v>
      </c>
    </row>
    <row r="29" spans="1:20" s="161" customFormat="1" ht="15.75" hidden="1">
      <c r="A29" s="161">
        <v>1</v>
      </c>
      <c r="E29" s="89">
        <v>0.15</v>
      </c>
      <c r="F29" s="261" t="e">
        <f t="shared" si="7"/>
        <v>#NAME?</v>
      </c>
      <c r="G29" s="10">
        <v>860</v>
      </c>
      <c r="H29" s="10">
        <v>273</v>
      </c>
      <c r="I29" s="10">
        <v>364</v>
      </c>
      <c r="J29" s="10">
        <v>293</v>
      </c>
      <c r="K29" s="10">
        <v>273</v>
      </c>
      <c r="L29" s="10">
        <v>0</v>
      </c>
      <c r="M29" s="10">
        <v>333</v>
      </c>
      <c r="N29" s="10">
        <v>333</v>
      </c>
      <c r="O29" s="97">
        <f t="shared" si="13"/>
        <v>333</v>
      </c>
      <c r="P29" s="97">
        <f t="shared" si="8"/>
        <v>273</v>
      </c>
      <c r="Q29" s="97">
        <f t="shared" si="9"/>
        <v>364</v>
      </c>
      <c r="R29" s="97">
        <f t="shared" si="10"/>
        <v>364</v>
      </c>
      <c r="S29" s="97">
        <f t="shared" si="11"/>
        <v>364</v>
      </c>
      <c r="T29" s="97">
        <f t="shared" si="12"/>
        <v>364</v>
      </c>
    </row>
    <row r="30" spans="1:20" s="161" customFormat="1" ht="15.75" hidden="1">
      <c r="A30" s="161">
        <v>1</v>
      </c>
      <c r="E30" s="89">
        <v>0.3</v>
      </c>
      <c r="F30" s="261" t="e">
        <f t="shared" si="7"/>
        <v>#NAME?</v>
      </c>
      <c r="G30" s="10">
        <v>894</v>
      </c>
      <c r="H30" s="10">
        <v>295</v>
      </c>
      <c r="I30" s="10">
        <v>364</v>
      </c>
      <c r="J30" s="10">
        <v>293</v>
      </c>
      <c r="K30" s="10">
        <v>273</v>
      </c>
      <c r="L30" s="10">
        <v>0</v>
      </c>
      <c r="M30" s="10">
        <v>576</v>
      </c>
      <c r="N30" s="10">
        <v>531</v>
      </c>
      <c r="O30" s="97">
        <f t="shared" si="13"/>
        <v>531</v>
      </c>
      <c r="P30" s="97">
        <f t="shared" si="8"/>
        <v>295</v>
      </c>
      <c r="Q30" s="97">
        <f t="shared" si="9"/>
        <v>364</v>
      </c>
      <c r="R30" s="97">
        <f t="shared" si="10"/>
        <v>364</v>
      </c>
      <c r="S30" s="97">
        <f t="shared" si="11"/>
        <v>364</v>
      </c>
      <c r="T30" s="97">
        <f t="shared" si="12"/>
        <v>364</v>
      </c>
    </row>
    <row r="31" spans="1:20" s="161" customFormat="1" ht="15.75" hidden="1">
      <c r="A31" s="161">
        <v>1</v>
      </c>
      <c r="E31" s="89">
        <v>0.4</v>
      </c>
      <c r="F31" s="261" t="e">
        <f t="shared" si="7"/>
        <v>#NAME?</v>
      </c>
      <c r="G31" s="10">
        <v>806</v>
      </c>
      <c r="H31" s="10">
        <v>318</v>
      </c>
      <c r="I31" s="10">
        <v>379</v>
      </c>
      <c r="J31" s="10">
        <v>303</v>
      </c>
      <c r="K31" s="10">
        <v>273</v>
      </c>
      <c r="L31" s="10">
        <v>212</v>
      </c>
      <c r="M31" s="10">
        <v>666</v>
      </c>
      <c r="N31" s="10">
        <v>606</v>
      </c>
      <c r="O31" s="97">
        <f t="shared" si="13"/>
        <v>606</v>
      </c>
      <c r="P31" s="97">
        <f t="shared" si="8"/>
        <v>318</v>
      </c>
      <c r="Q31" s="97">
        <f t="shared" si="9"/>
        <v>379</v>
      </c>
      <c r="R31" s="97">
        <f t="shared" si="10"/>
        <v>379</v>
      </c>
      <c r="S31" s="97">
        <f t="shared" si="11"/>
        <v>379</v>
      </c>
      <c r="T31" s="97">
        <f t="shared" si="12"/>
        <v>379</v>
      </c>
    </row>
    <row r="32" spans="1:20" s="161" customFormat="1" ht="15.75" hidden="1">
      <c r="A32" s="161">
        <v>1</v>
      </c>
      <c r="E32" s="89">
        <v>0.5</v>
      </c>
      <c r="F32" s="261" t="e">
        <f t="shared" si="7"/>
        <v>#NAME?</v>
      </c>
      <c r="G32" s="10">
        <v>702</v>
      </c>
      <c r="H32" s="10">
        <v>349</v>
      </c>
      <c r="I32" s="10">
        <v>379</v>
      </c>
      <c r="J32" s="10">
        <v>303</v>
      </c>
      <c r="K32" s="10">
        <v>273</v>
      </c>
      <c r="L32" s="10">
        <v>212</v>
      </c>
      <c r="M32" s="10">
        <v>720</v>
      </c>
      <c r="N32" s="10">
        <v>659</v>
      </c>
      <c r="O32" s="97">
        <f t="shared" si="13"/>
        <v>659</v>
      </c>
      <c r="P32" s="97">
        <f t="shared" si="8"/>
        <v>349</v>
      </c>
      <c r="Q32" s="97">
        <f t="shared" si="9"/>
        <v>379</v>
      </c>
      <c r="R32" s="97">
        <f t="shared" si="10"/>
        <v>379</v>
      </c>
      <c r="S32" s="97">
        <f t="shared" si="11"/>
        <v>379</v>
      </c>
      <c r="T32" s="97">
        <f t="shared" si="12"/>
        <v>379</v>
      </c>
    </row>
    <row r="33" spans="1:20" s="161" customFormat="1" ht="15.75" hidden="1">
      <c r="A33" s="161">
        <v>1</v>
      </c>
      <c r="E33" s="89">
        <v>0.6</v>
      </c>
      <c r="F33" s="261" t="e">
        <f t="shared" si="7"/>
        <v>#NAME?</v>
      </c>
      <c r="G33" s="10">
        <v>705</v>
      </c>
      <c r="H33" s="10">
        <v>394</v>
      </c>
      <c r="I33" s="10">
        <v>394</v>
      </c>
      <c r="J33" s="10">
        <v>307</v>
      </c>
      <c r="K33" s="10">
        <v>288</v>
      </c>
      <c r="L33" s="10">
        <v>243</v>
      </c>
      <c r="M33" s="10">
        <v>772</v>
      </c>
      <c r="N33" s="10">
        <v>682</v>
      </c>
      <c r="O33" s="97">
        <f t="shared" si="13"/>
        <v>682</v>
      </c>
      <c r="P33" s="97">
        <f t="shared" si="8"/>
        <v>394</v>
      </c>
      <c r="Q33" s="97">
        <f t="shared" si="9"/>
        <v>394</v>
      </c>
      <c r="R33" s="97">
        <f t="shared" si="10"/>
        <v>394</v>
      </c>
      <c r="S33" s="97">
        <f t="shared" si="11"/>
        <v>394</v>
      </c>
      <c r="T33" s="97">
        <f t="shared" si="12"/>
        <v>394</v>
      </c>
    </row>
    <row r="34" spans="1:20" s="161" customFormat="1" ht="15.75" hidden="1">
      <c r="A34" s="161">
        <v>1</v>
      </c>
      <c r="E34" s="89">
        <v>0.7</v>
      </c>
      <c r="F34" s="261" t="e">
        <f t="shared" si="7"/>
        <v>#NAME?</v>
      </c>
      <c r="G34" s="10">
        <v>675</v>
      </c>
      <c r="H34" s="10">
        <v>432</v>
      </c>
      <c r="I34" s="10">
        <v>553</v>
      </c>
      <c r="J34" s="10">
        <v>349</v>
      </c>
      <c r="K34" s="10">
        <v>288</v>
      </c>
      <c r="L34" s="10">
        <v>243</v>
      </c>
      <c r="M34" s="10">
        <v>795</v>
      </c>
      <c r="N34" s="10">
        <v>705</v>
      </c>
      <c r="O34" s="97">
        <f t="shared" si="13"/>
        <v>705</v>
      </c>
      <c r="P34" s="97">
        <f t="shared" si="8"/>
        <v>432</v>
      </c>
      <c r="Q34" s="97">
        <f t="shared" si="9"/>
        <v>553</v>
      </c>
      <c r="R34" s="97">
        <f t="shared" si="10"/>
        <v>553</v>
      </c>
      <c r="S34" s="97">
        <f t="shared" si="11"/>
        <v>553</v>
      </c>
      <c r="T34" s="97">
        <f t="shared" si="12"/>
        <v>553</v>
      </c>
    </row>
    <row r="35" spans="1:20" s="161" customFormat="1" ht="15.75" hidden="1">
      <c r="A35" s="161">
        <v>1</v>
      </c>
      <c r="E35" s="89">
        <v>0.8</v>
      </c>
      <c r="F35" s="261" t="e">
        <f t="shared" si="7"/>
        <v>#NAME?</v>
      </c>
      <c r="G35" s="10">
        <v>810</v>
      </c>
      <c r="H35" s="10">
        <v>522</v>
      </c>
      <c r="I35" s="10">
        <v>599</v>
      </c>
      <c r="J35" s="10">
        <v>515</v>
      </c>
      <c r="K35" s="10">
        <v>425</v>
      </c>
      <c r="L35" s="10">
        <v>273</v>
      </c>
      <c r="M35" s="10">
        <v>841</v>
      </c>
      <c r="N35" s="10">
        <v>720</v>
      </c>
      <c r="O35" s="97">
        <f t="shared" si="13"/>
        <v>720</v>
      </c>
      <c r="P35" s="97">
        <f t="shared" si="8"/>
        <v>522</v>
      </c>
      <c r="Q35" s="97">
        <f t="shared" si="9"/>
        <v>599</v>
      </c>
      <c r="R35" s="97">
        <f t="shared" si="10"/>
        <v>599</v>
      </c>
      <c r="S35" s="97">
        <f t="shared" si="11"/>
        <v>599</v>
      </c>
      <c r="T35" s="97">
        <f t="shared" si="12"/>
        <v>599</v>
      </c>
    </row>
    <row r="36" spans="1:20" s="161" customFormat="1" ht="15.75" hidden="1">
      <c r="A36" s="161">
        <v>1</v>
      </c>
      <c r="E36" s="89">
        <v>1</v>
      </c>
      <c r="F36" s="261" t="e">
        <f t="shared" si="7"/>
        <v>#NAME?</v>
      </c>
      <c r="G36" s="10">
        <v>1008</v>
      </c>
      <c r="H36" s="10">
        <v>659</v>
      </c>
      <c r="I36" s="10">
        <v>621</v>
      </c>
      <c r="J36" s="10">
        <v>500</v>
      </c>
      <c r="K36" s="10">
        <v>470</v>
      </c>
      <c r="L36" s="10">
        <v>273</v>
      </c>
      <c r="M36" s="10">
        <v>894</v>
      </c>
      <c r="N36" s="10">
        <v>743</v>
      </c>
      <c r="O36" s="97">
        <f t="shared" si="13"/>
        <v>743</v>
      </c>
      <c r="P36" s="97">
        <f t="shared" si="8"/>
        <v>659</v>
      </c>
      <c r="Q36" s="97">
        <f t="shared" si="9"/>
        <v>621</v>
      </c>
      <c r="R36" s="97">
        <f t="shared" si="10"/>
        <v>621</v>
      </c>
      <c r="S36" s="97">
        <f t="shared" si="11"/>
        <v>621</v>
      </c>
      <c r="T36" s="97">
        <f t="shared" si="12"/>
        <v>621</v>
      </c>
    </row>
    <row r="37" spans="1:20" s="161" customFormat="1" ht="15.75" hidden="1">
      <c r="A37" s="161">
        <v>1</v>
      </c>
      <c r="E37" s="89">
        <v>1.1</v>
      </c>
      <c r="F37" s="261" t="e">
        <f t="shared" si="7"/>
        <v>#NAME?</v>
      </c>
      <c r="G37" s="284">
        <v>1129</v>
      </c>
      <c r="H37" s="285">
        <v>750</v>
      </c>
      <c r="I37" s="10">
        <v>651</v>
      </c>
      <c r="J37" s="10">
        <v>500</v>
      </c>
      <c r="K37" s="10">
        <v>484</v>
      </c>
      <c r="L37" s="10">
        <v>288</v>
      </c>
      <c r="M37" s="10">
        <v>932</v>
      </c>
      <c r="N37" s="10">
        <v>765</v>
      </c>
      <c r="O37" s="97">
        <f t="shared" si="13"/>
        <v>765</v>
      </c>
      <c r="P37" s="97">
        <f t="shared" si="8"/>
        <v>750</v>
      </c>
      <c r="Q37" s="97">
        <f t="shared" si="9"/>
        <v>651</v>
      </c>
      <c r="R37" s="97">
        <f t="shared" si="10"/>
        <v>651</v>
      </c>
      <c r="S37" s="97">
        <f t="shared" si="11"/>
        <v>651</v>
      </c>
      <c r="T37" s="97">
        <f t="shared" si="12"/>
        <v>651</v>
      </c>
    </row>
    <row r="38" spans="1:20" s="161" customFormat="1" ht="16.5" hidden="1" thickBot="1">
      <c r="A38" s="161">
        <v>1</v>
      </c>
      <c r="E38" s="90">
        <v>1.2</v>
      </c>
      <c r="F38" s="261" t="e">
        <f t="shared" si="7"/>
        <v>#NAME?</v>
      </c>
      <c r="G38" s="10">
        <v>1166</v>
      </c>
      <c r="H38" s="10">
        <v>772</v>
      </c>
      <c r="I38" s="10">
        <v>727</v>
      </c>
      <c r="J38" s="10">
        <v>508</v>
      </c>
      <c r="K38" s="10">
        <v>500</v>
      </c>
      <c r="L38" s="10">
        <v>288</v>
      </c>
      <c r="M38" s="10">
        <v>939</v>
      </c>
      <c r="N38" s="10">
        <v>772</v>
      </c>
      <c r="O38" s="97">
        <f t="shared" si="13"/>
        <v>772</v>
      </c>
      <c r="P38" s="97">
        <f t="shared" si="8"/>
        <v>772</v>
      </c>
      <c r="Q38" s="97">
        <f t="shared" si="9"/>
        <v>727</v>
      </c>
      <c r="R38" s="97">
        <f t="shared" si="10"/>
        <v>727</v>
      </c>
      <c r="S38" s="97">
        <f t="shared" si="11"/>
        <v>727</v>
      </c>
      <c r="T38" s="97">
        <f t="shared" si="12"/>
        <v>727</v>
      </c>
    </row>
    <row r="39" spans="1:20" s="161" customFormat="1" ht="15.75" hidden="1">
      <c r="A39" s="161">
        <v>1</v>
      </c>
      <c r="E39" s="162"/>
      <c r="F39" s="104" t="s">
        <v>376</v>
      </c>
      <c r="G39" s="104" t="e">
        <f>LOOKUP(F56,porantvar1,cod06cargosvar1mar11)</f>
        <v>#NAME?</v>
      </c>
      <c r="H39" s="163"/>
      <c r="I39" s="164"/>
      <c r="J39" s="164"/>
      <c r="K39" s="104"/>
      <c r="L39" s="11"/>
      <c r="M39" s="95"/>
      <c r="N39" s="95"/>
      <c r="O39" s="95"/>
      <c r="P39" s="95"/>
      <c r="Q39" s="95"/>
      <c r="R39" s="95"/>
      <c r="S39" s="95"/>
      <c r="T39" s="95"/>
    </row>
    <row r="40" spans="5:20" s="161" customFormat="1" ht="15.75" hidden="1">
      <c r="E40" s="162"/>
      <c r="F40" s="104"/>
      <c r="G40" s="104"/>
      <c r="H40" s="163"/>
      <c r="I40" s="164"/>
      <c r="J40" s="164"/>
      <c r="K40" s="104"/>
      <c r="L40" s="11"/>
      <c r="M40" s="95"/>
      <c r="N40" s="95"/>
      <c r="O40" s="95"/>
      <c r="P40" s="95"/>
      <c r="Q40" s="95"/>
      <c r="R40" s="95"/>
      <c r="S40" s="95"/>
      <c r="T40" s="95"/>
    </row>
    <row r="41" spans="5:20" s="161" customFormat="1" ht="15.75" hidden="1">
      <c r="E41" s="162"/>
      <c r="F41" s="104"/>
      <c r="G41" s="104"/>
      <c r="H41" s="163"/>
      <c r="I41" s="164"/>
      <c r="J41" s="164"/>
      <c r="K41" s="104"/>
      <c r="L41" s="11"/>
      <c r="M41" s="95"/>
      <c r="N41" s="95"/>
      <c r="O41" s="95"/>
      <c r="P41" s="95"/>
      <c r="Q41" s="95"/>
      <c r="R41" s="95"/>
      <c r="S41" s="95"/>
      <c r="T41" s="95"/>
    </row>
    <row r="42" spans="5:20" s="161" customFormat="1" ht="15.75" hidden="1">
      <c r="E42" s="162"/>
      <c r="F42" s="104"/>
      <c r="G42" s="104"/>
      <c r="H42" s="163"/>
      <c r="I42" s="164"/>
      <c r="J42" s="164"/>
      <c r="K42" s="104"/>
      <c r="L42" s="11"/>
      <c r="M42" s="95"/>
      <c r="N42" s="95"/>
      <c r="O42" s="95"/>
      <c r="P42" s="95"/>
      <c r="Q42" s="95"/>
      <c r="R42" s="95"/>
      <c r="S42" s="95"/>
      <c r="T42" s="95"/>
    </row>
    <row r="43" spans="4:20" s="101" customFormat="1" ht="15.75">
      <c r="D43" s="272" t="s">
        <v>365</v>
      </c>
      <c r="E43" s="273"/>
      <c r="F43" s="274"/>
      <c r="G43" s="274"/>
      <c r="H43" s="275"/>
      <c r="I43" s="276"/>
      <c r="J43" s="276"/>
      <c r="K43" s="274"/>
      <c r="L43" s="277"/>
      <c r="M43" s="278"/>
      <c r="N43" s="278"/>
      <c r="O43" s="278"/>
      <c r="P43" s="278"/>
      <c r="Q43" s="278"/>
      <c r="R43" s="278"/>
      <c r="S43" s="278"/>
      <c r="T43" s="278"/>
    </row>
    <row r="44" spans="1:15" ht="12.75">
      <c r="A44" s="102">
        <v>1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17" ht="20.25">
      <c r="A45" s="102">
        <v>1</v>
      </c>
      <c r="B45" s="40"/>
      <c r="C45" s="79"/>
      <c r="D45" s="79"/>
      <c r="E45" s="53" t="s">
        <v>337</v>
      </c>
      <c r="F45" s="10"/>
      <c r="G45" s="10"/>
      <c r="H45" s="79"/>
      <c r="I45" s="79"/>
      <c r="J45" s="79"/>
      <c r="K45" s="79"/>
      <c r="L45" s="79"/>
      <c r="M45" s="79"/>
      <c r="N45" s="103"/>
      <c r="O45" s="187"/>
      <c r="P45" s="104"/>
      <c r="Q45" s="104"/>
    </row>
    <row r="46" spans="1:17" ht="12.75">
      <c r="A46" s="102">
        <v>1</v>
      </c>
      <c r="B46" s="40"/>
      <c r="C46" s="40"/>
      <c r="D46" s="40"/>
      <c r="E46" s="40"/>
      <c r="F46" s="40"/>
      <c r="G46" s="40"/>
      <c r="H46" s="177"/>
      <c r="I46" s="40"/>
      <c r="J46" s="40"/>
      <c r="K46" s="40"/>
      <c r="L46" s="40"/>
      <c r="M46" s="40"/>
      <c r="N46" s="103"/>
      <c r="O46" s="187"/>
      <c r="P46" s="104"/>
      <c r="Q46" s="104"/>
    </row>
    <row r="47" spans="1:17" ht="12.75">
      <c r="A47" s="102">
        <v>1</v>
      </c>
      <c r="B47" s="102"/>
      <c r="C47" s="102"/>
      <c r="D47" s="36" t="s">
        <v>30</v>
      </c>
      <c r="E47" s="36" t="s">
        <v>309</v>
      </c>
      <c r="F47" s="36" t="s">
        <v>310</v>
      </c>
      <c r="G47" s="36" t="s">
        <v>311</v>
      </c>
      <c r="H47" s="36" t="s">
        <v>312</v>
      </c>
      <c r="I47" s="73" t="s">
        <v>356</v>
      </c>
      <c r="J47" s="314" t="s">
        <v>383</v>
      </c>
      <c r="K47" s="40"/>
      <c r="L47" s="40"/>
      <c r="M47" s="40"/>
      <c r="N47" s="103"/>
      <c r="O47" s="187"/>
      <c r="P47" s="104"/>
      <c r="Q47" s="104"/>
    </row>
    <row r="48" spans="1:17" ht="16.5" thickBot="1">
      <c r="A48" s="102">
        <v>1</v>
      </c>
      <c r="B48" s="102"/>
      <c r="C48" s="102"/>
      <c r="D48" s="82">
        <v>741</v>
      </c>
      <c r="E48" s="54">
        <f>LOOKUP(D48,[0]!numerocargo,[0]!puntosbasicoscargo)</f>
        <v>1300</v>
      </c>
      <c r="F48" s="54" t="e">
        <f>LOOKUP(D48,[0]!numerocargo,[0]!tardifcargo)</f>
        <v>#NAME?</v>
      </c>
      <c r="G48" s="54">
        <f>LOOKUP(D48,[0]!numerocargo,[0]!proljorcargo)</f>
        <v>1660</v>
      </c>
      <c r="H48" s="54" t="e">
        <f>LOOKUP(D48,[0]!numerocargo,[0]!jorcomcargo)</f>
        <v>#NAME?</v>
      </c>
      <c r="I48" s="36">
        <f>LOOKUP(D48,Cargos!A1:A338,puntoscompbasico)</f>
        <v>216</v>
      </c>
      <c r="J48" s="313" t="e">
        <f>LOOKUP(D48,Cargos!A1:A338,puntosadicdir)</f>
        <v>#REF!</v>
      </c>
      <c r="K48" s="40"/>
      <c r="L48" s="40"/>
      <c r="M48" s="40"/>
      <c r="N48" s="103"/>
      <c r="O48" s="187"/>
      <c r="P48" s="104"/>
      <c r="Q48" s="104"/>
    </row>
    <row r="49" spans="1:17" ht="13.5" thickBot="1">
      <c r="A49" s="102">
        <v>1</v>
      </c>
      <c r="B49" s="102"/>
      <c r="C49" s="102"/>
      <c r="D49" s="55" t="s">
        <v>31</v>
      </c>
      <c r="E49" s="56" t="str">
        <f>LOOKUP(D48,[0]!numerocargo,[0]!nombrecargo)</f>
        <v> SECRETARIO ESCUELA 2DA CATEGORIA</v>
      </c>
      <c r="F49" s="35"/>
      <c r="G49" s="35"/>
      <c r="H49" s="44"/>
      <c r="I49" s="40"/>
      <c r="J49" s="40"/>
      <c r="K49" s="40"/>
      <c r="L49" s="40"/>
      <c r="M49" s="40"/>
      <c r="N49" s="103"/>
      <c r="O49" s="187"/>
      <c r="P49" s="104"/>
      <c r="Q49" s="104"/>
    </row>
    <row r="50" spans="1:17" ht="13.5" thickBot="1">
      <c r="A50" s="102">
        <v>1</v>
      </c>
      <c r="B50" s="102"/>
      <c r="C50" s="102"/>
      <c r="D50" s="176"/>
      <c r="E50" s="177"/>
      <c r="F50" s="40"/>
      <c r="G50" s="40"/>
      <c r="H50" s="40"/>
      <c r="I50" s="91" t="s">
        <v>330</v>
      </c>
      <c r="J50" s="248"/>
      <c r="K50" s="248"/>
      <c r="L50" s="248"/>
      <c r="M50" s="40"/>
      <c r="N50" s="40"/>
      <c r="O50" s="40"/>
      <c r="P50" s="10"/>
      <c r="Q50" s="10"/>
    </row>
    <row r="51" spans="1:17" ht="19.5" thickBot="1" thickTop="1">
      <c r="A51" s="102">
        <v>1</v>
      </c>
      <c r="B51" s="102"/>
      <c r="C51" s="102"/>
      <c r="D51" s="105" t="s">
        <v>324</v>
      </c>
      <c r="E51" s="86"/>
      <c r="F51" s="86"/>
      <c r="G51" s="86"/>
      <c r="H51" s="106">
        <v>53</v>
      </c>
      <c r="I51" s="92">
        <f>H51/120</f>
        <v>0.44166666666666665</v>
      </c>
      <c r="J51" s="177"/>
      <c r="K51" s="177"/>
      <c r="L51" s="177"/>
      <c r="M51" s="40"/>
      <c r="N51" s="40"/>
      <c r="O51" s="40"/>
      <c r="P51" s="10"/>
      <c r="Q51" s="10"/>
    </row>
    <row r="52" spans="1:17" ht="17.25" thickBot="1" thickTop="1">
      <c r="A52" s="102">
        <v>1</v>
      </c>
      <c r="B52" s="176"/>
      <c r="C52" s="177"/>
      <c r="D52" s="40"/>
      <c r="E52" s="40"/>
      <c r="F52" s="242"/>
      <c r="G52" s="40"/>
      <c r="H52" s="177"/>
      <c r="I52" s="40"/>
      <c r="J52" s="40"/>
      <c r="K52" s="40"/>
      <c r="L52" s="40"/>
      <c r="M52" s="40"/>
      <c r="N52" s="40"/>
      <c r="O52" s="40"/>
      <c r="P52" s="10"/>
      <c r="Q52" s="10"/>
    </row>
    <row r="53" spans="1:17" ht="17.25" thickBot="1" thickTop="1">
      <c r="A53" s="102">
        <v>1</v>
      </c>
      <c r="B53" s="176"/>
      <c r="C53" s="102"/>
      <c r="D53" s="85" t="s">
        <v>332</v>
      </c>
      <c r="E53" s="93">
        <v>0</v>
      </c>
      <c r="F53" s="242"/>
      <c r="G53" s="40"/>
      <c r="H53" s="177"/>
      <c r="I53" s="40"/>
      <c r="J53" s="40"/>
      <c r="K53" s="40"/>
      <c r="L53" s="40"/>
      <c r="M53" s="40"/>
      <c r="N53" s="40"/>
      <c r="O53" s="40"/>
      <c r="P53" s="10"/>
      <c r="Q53" s="10"/>
    </row>
    <row r="54" spans="1:17" ht="14.25" thickBot="1" thickTop="1">
      <c r="A54" s="102">
        <v>1</v>
      </c>
      <c r="B54" s="176"/>
      <c r="C54" s="177"/>
      <c r="D54" s="40"/>
      <c r="E54" s="40"/>
      <c r="F54" s="40"/>
      <c r="G54" s="40"/>
      <c r="H54" s="177"/>
      <c r="I54" s="40"/>
      <c r="J54" s="40"/>
      <c r="K54" s="40"/>
      <c r="L54" s="40"/>
      <c r="M54" s="40"/>
      <c r="N54" s="40"/>
      <c r="O54" s="40"/>
      <c r="P54" s="10"/>
      <c r="Q54" s="10"/>
    </row>
    <row r="55" spans="1:17" ht="16.5" thickBot="1">
      <c r="A55" s="102">
        <v>1</v>
      </c>
      <c r="B55" s="40"/>
      <c r="C55" s="79"/>
      <c r="D55" s="57" t="s">
        <v>8</v>
      </c>
      <c r="E55" s="35"/>
      <c r="F55" s="58" t="e">
        <f>E48*indicesep2010</f>
        <v>#NAME?</v>
      </c>
      <c r="G55" s="79"/>
      <c r="H55" s="79"/>
      <c r="I55" s="79"/>
      <c r="J55" s="79"/>
      <c r="K55" s="79"/>
      <c r="L55" s="79"/>
      <c r="M55" s="107"/>
      <c r="N55" s="107"/>
      <c r="O55" s="79"/>
      <c r="P55" s="10"/>
      <c r="Q55" s="10"/>
    </row>
    <row r="56" spans="1:17" ht="16.5" thickBot="1">
      <c r="A56" s="102">
        <v>1</v>
      </c>
      <c r="B56" s="40"/>
      <c r="C56" s="79"/>
      <c r="D56" s="57" t="s">
        <v>9</v>
      </c>
      <c r="E56" s="35"/>
      <c r="F56" s="84">
        <v>1.2</v>
      </c>
      <c r="G56" s="10" t="s">
        <v>10</v>
      </c>
      <c r="H56" s="10"/>
      <c r="I56" s="79"/>
      <c r="J56" s="79"/>
      <c r="K56" s="79"/>
      <c r="L56" s="79"/>
      <c r="M56" s="79"/>
      <c r="N56" s="107"/>
      <c r="O56" s="79"/>
      <c r="P56" s="10"/>
      <c r="Q56" s="10"/>
    </row>
    <row r="57" spans="1:17" ht="15.75">
      <c r="A57" s="102">
        <v>1</v>
      </c>
      <c r="B57" s="40"/>
      <c r="C57" s="79"/>
      <c r="D57" s="40"/>
      <c r="E57" s="40"/>
      <c r="F57" s="320"/>
      <c r="G57" s="79"/>
      <c r="H57" s="79"/>
      <c r="I57" s="79"/>
      <c r="J57" s="79"/>
      <c r="K57" s="79"/>
      <c r="L57" s="79"/>
      <c r="M57" s="79"/>
      <c r="N57" s="108"/>
      <c r="O57" s="79"/>
      <c r="P57" s="10"/>
      <c r="Q57" s="10"/>
    </row>
    <row r="58" spans="1:17" ht="18.75" hidden="1" thickBot="1">
      <c r="A58" s="102">
        <v>1</v>
      </c>
      <c r="B58" s="40"/>
      <c r="C58" s="79"/>
      <c r="D58" s="60" t="s">
        <v>11</v>
      </c>
      <c r="E58" s="60"/>
      <c r="F58" s="61">
        <f>E48</f>
        <v>1300</v>
      </c>
      <c r="G58" s="10" t="s">
        <v>12</v>
      </c>
      <c r="H58" s="79"/>
      <c r="I58" s="224" t="e">
        <f>H48+G48</f>
        <v>#NAME?</v>
      </c>
      <c r="J58" s="107"/>
      <c r="K58" s="107"/>
      <c r="L58" s="107"/>
      <c r="M58" s="40"/>
      <c r="N58" s="79"/>
      <c r="O58" s="79"/>
      <c r="P58" s="10"/>
      <c r="Q58" s="10"/>
    </row>
    <row r="59" spans="1:17" ht="18" hidden="1">
      <c r="A59" s="102"/>
      <c r="B59" s="40"/>
      <c r="C59" s="79"/>
      <c r="D59" s="152"/>
      <c r="E59" s="152"/>
      <c r="F59" s="153"/>
      <c r="G59" s="79"/>
      <c r="H59" s="79"/>
      <c r="I59" s="107"/>
      <c r="J59" s="107"/>
      <c r="K59" s="107"/>
      <c r="L59" s="107"/>
      <c r="M59" s="40"/>
      <c r="N59" s="79"/>
      <c r="O59" s="79"/>
      <c r="P59" s="10"/>
      <c r="Q59" s="10"/>
    </row>
    <row r="60" spans="1:15" ht="15.75" hidden="1">
      <c r="A60" s="102"/>
      <c r="B60" s="40"/>
      <c r="C60" s="79"/>
      <c r="D60" s="10"/>
      <c r="E60" s="98" t="s">
        <v>373</v>
      </c>
      <c r="F60" s="10"/>
      <c r="G60" s="102"/>
      <c r="H60" s="10"/>
      <c r="I60" s="98" t="s">
        <v>374</v>
      </c>
      <c r="J60" s="10"/>
      <c r="K60" s="102"/>
      <c r="L60" s="2"/>
      <c r="M60" s="169"/>
      <c r="N60" s="2"/>
      <c r="O60" s="289"/>
    </row>
    <row r="61" spans="1:15" ht="12.75" hidden="1">
      <c r="A61" s="102">
        <v>1</v>
      </c>
      <c r="B61" s="40"/>
      <c r="C61" s="102"/>
      <c r="D61" s="16">
        <v>400</v>
      </c>
      <c r="E61" s="16" t="s">
        <v>13</v>
      </c>
      <c r="F61" s="62" t="e">
        <f>punbasjubvarios1*indicesep2010*porjubvarcar*frac1</f>
        <v>#NAME?</v>
      </c>
      <c r="G61" s="102"/>
      <c r="H61" s="16">
        <v>400</v>
      </c>
      <c r="I61" s="16" t="s">
        <v>13</v>
      </c>
      <c r="J61" s="62" t="e">
        <f>punbasjubvarios1*indicemar2011*porjubvarcar*frac1</f>
        <v>#NAME?</v>
      </c>
      <c r="K61" s="102"/>
      <c r="L61" s="2"/>
      <c r="M61" s="2"/>
      <c r="N61" s="3"/>
      <c r="O61" s="289"/>
    </row>
    <row r="62" spans="1:15" ht="12.75" hidden="1">
      <c r="A62" s="102"/>
      <c r="B62" s="40"/>
      <c r="C62" s="102"/>
      <c r="D62" s="16">
        <v>542</v>
      </c>
      <c r="E62" s="16" t="s">
        <v>360</v>
      </c>
      <c r="F62" s="160" t="e">
        <f>compbasicovarios1*indicesep2010*porjubvarcar*frac1</f>
        <v>#NAME?</v>
      </c>
      <c r="G62" s="102"/>
      <c r="H62" s="16">
        <v>542</v>
      </c>
      <c r="I62" s="16" t="s">
        <v>360</v>
      </c>
      <c r="J62" s="160" t="e">
        <f>compbasicovarios1*indicemar2011*porjubvarcar*frac1</f>
        <v>#NAME?</v>
      </c>
      <c r="K62" s="102"/>
      <c r="L62" s="2"/>
      <c r="M62" s="2"/>
      <c r="N62" s="3"/>
      <c r="O62" s="289"/>
    </row>
    <row r="63" spans="1:15" ht="12.75" hidden="1">
      <c r="A63" s="102"/>
      <c r="B63" s="40"/>
      <c r="C63" s="102"/>
      <c r="D63" s="286"/>
      <c r="E63" s="286"/>
      <c r="F63" s="315"/>
      <c r="G63" s="102"/>
      <c r="H63" s="287" t="s">
        <v>372</v>
      </c>
      <c r="I63" s="288" t="s">
        <v>371</v>
      </c>
      <c r="J63" s="312" t="e">
        <f>adicdirvarios1*indicemar2011*porjubvarcar*frac1</f>
        <v>#REF!</v>
      </c>
      <c r="K63" s="102"/>
      <c r="L63" s="2"/>
      <c r="M63" s="2"/>
      <c r="N63" s="3"/>
      <c r="O63" s="289"/>
    </row>
    <row r="64" spans="1:15" ht="12.75" hidden="1">
      <c r="A64" s="102">
        <v>1</v>
      </c>
      <c r="B64" s="40"/>
      <c r="C64" s="102"/>
      <c r="D64" s="16">
        <v>404</v>
      </c>
      <c r="E64" s="16" t="s">
        <v>314</v>
      </c>
      <c r="F64" s="62" t="e">
        <f>puntardifvar1*indicesep2010*porjubvarcar*frac1</f>
        <v>#NAME?</v>
      </c>
      <c r="G64" s="102"/>
      <c r="H64" s="16">
        <v>404</v>
      </c>
      <c r="I64" s="16" t="s">
        <v>314</v>
      </c>
      <c r="J64" s="62" t="e">
        <f>puntardifvar1*indicemar2011*porjubvarcar*frac1</f>
        <v>#NAME?</v>
      </c>
      <c r="L64" s="2"/>
      <c r="M64" s="2"/>
      <c r="N64" s="3"/>
      <c r="O64" s="168"/>
    </row>
    <row r="65" spans="1:15" ht="12.75" hidden="1">
      <c r="A65" s="102">
        <v>1</v>
      </c>
      <c r="B65" s="40"/>
      <c r="C65" s="102"/>
      <c r="D65" s="16">
        <v>406</v>
      </c>
      <c r="E65" s="16" t="s">
        <v>14</v>
      </c>
      <c r="F65" s="62" t="e">
        <f>(F61+F62+F64+F67)*F56</f>
        <v>#NAME?</v>
      </c>
      <c r="G65" s="102"/>
      <c r="H65" s="16">
        <v>406</v>
      </c>
      <c r="I65" s="16" t="s">
        <v>14</v>
      </c>
      <c r="J65" s="62" t="e">
        <f>(J61+J62+J64+J67)*F56</f>
        <v>#NAME?</v>
      </c>
      <c r="L65" s="2"/>
      <c r="M65" s="2"/>
      <c r="N65" s="3"/>
      <c r="O65" s="168"/>
    </row>
    <row r="66" spans="1:15" ht="12.75" hidden="1">
      <c r="A66" s="102">
        <v>1</v>
      </c>
      <c r="B66" s="40"/>
      <c r="C66" s="102"/>
      <c r="D66" s="16">
        <v>408</v>
      </c>
      <c r="E66" s="16" t="s">
        <v>331</v>
      </c>
      <c r="F66" s="62" t="e">
        <f>(F61+F62+F64+F67)*E53</f>
        <v>#NAME?</v>
      </c>
      <c r="G66" s="102"/>
      <c r="H66" s="16">
        <v>408</v>
      </c>
      <c r="I66" s="16" t="s">
        <v>331</v>
      </c>
      <c r="J66" s="62" t="e">
        <f>(J61+J62+J64+J67)*E53</f>
        <v>#NAME?</v>
      </c>
      <c r="L66" s="2"/>
      <c r="M66" s="2"/>
      <c r="N66" s="3"/>
      <c r="O66" s="168"/>
    </row>
    <row r="67" spans="1:15" ht="12.75" hidden="1">
      <c r="A67" s="102">
        <v>1</v>
      </c>
      <c r="B67" s="40"/>
      <c r="C67" s="102"/>
      <c r="D67" s="16">
        <v>416</v>
      </c>
      <c r="E67" s="63" t="s">
        <v>315</v>
      </c>
      <c r="F67" s="62" t="e">
        <f>puntosproljorvarios1*proljorsep2010*porjubvarcar*frac1</f>
        <v>#NAME?</v>
      </c>
      <c r="G67" s="102"/>
      <c r="H67" s="16">
        <v>416</v>
      </c>
      <c r="I67" s="63" t="s">
        <v>315</v>
      </c>
      <c r="J67" s="62" t="e">
        <f>puntosproljorvarios1*proljormar2011*porjubvarcar*frac1</f>
        <v>#NAME?</v>
      </c>
      <c r="L67" s="2"/>
      <c r="M67" s="290"/>
      <c r="N67" s="3"/>
      <c r="O67" s="168"/>
    </row>
    <row r="68" spans="1:15" ht="12.75" hidden="1">
      <c r="A68" s="102">
        <v>1</v>
      </c>
      <c r="B68" s="40"/>
      <c r="C68" s="102"/>
      <c r="D68" s="16">
        <v>432</v>
      </c>
      <c r="E68" s="16" t="s">
        <v>329</v>
      </c>
      <c r="F68" s="62" t="e">
        <f>cod06feb11varios1*porjubvarcar*frac1</f>
        <v>#NAME?</v>
      </c>
      <c r="G68" s="102"/>
      <c r="H68" s="16">
        <v>432</v>
      </c>
      <c r="I68" s="16" t="s">
        <v>329</v>
      </c>
      <c r="J68" s="62" t="e">
        <f>cod06mar11varios1*porjubvarcar*frac1</f>
        <v>#NAME?</v>
      </c>
      <c r="L68" s="2"/>
      <c r="M68" s="2"/>
      <c r="N68" s="3"/>
      <c r="O68" s="168"/>
    </row>
    <row r="69" spans="1:15" ht="12.75" hidden="1">
      <c r="A69" s="102">
        <v>1</v>
      </c>
      <c r="B69" s="40"/>
      <c r="C69" s="102"/>
      <c r="D69" s="16">
        <v>434</v>
      </c>
      <c r="E69" s="16" t="s">
        <v>313</v>
      </c>
      <c r="F69" s="62" t="e">
        <f>(F61+F62+F64+F65+F67+F68+F66)*0.07*0.95</f>
        <v>#NAME?</v>
      </c>
      <c r="G69" s="102"/>
      <c r="H69" s="16">
        <v>434</v>
      </c>
      <c r="I69" s="16" t="s">
        <v>313</v>
      </c>
      <c r="J69" s="62" t="e">
        <f>(J61+J62+J64+J65+J67+J68+J66)*0.07*0.95</f>
        <v>#NAME?</v>
      </c>
      <c r="L69" s="2"/>
      <c r="M69" s="2"/>
      <c r="N69" s="3"/>
      <c r="O69" s="168"/>
    </row>
    <row r="70" spans="1:15" ht="12.75" hidden="1">
      <c r="A70" s="102"/>
      <c r="B70" s="40"/>
      <c r="C70" s="102"/>
      <c r="D70" s="16"/>
      <c r="E70" s="64"/>
      <c r="F70" s="110"/>
      <c r="G70" s="102"/>
      <c r="H70" s="16"/>
      <c r="I70" s="64"/>
      <c r="J70" s="110"/>
      <c r="L70" s="2"/>
      <c r="M70" s="2"/>
      <c r="N70" s="3"/>
      <c r="O70" s="168"/>
    </row>
    <row r="71" spans="1:15" ht="13.5" hidden="1" thickBot="1">
      <c r="A71" s="102">
        <v>1</v>
      </c>
      <c r="B71" s="40"/>
      <c r="C71" s="102"/>
      <c r="D71" s="16"/>
      <c r="E71" s="64" t="s">
        <v>327</v>
      </c>
      <c r="F71" s="83">
        <v>0</v>
      </c>
      <c r="G71" s="102"/>
      <c r="H71" s="16"/>
      <c r="I71" s="64" t="s">
        <v>327</v>
      </c>
      <c r="J71" s="83">
        <v>0</v>
      </c>
      <c r="L71" s="2"/>
      <c r="M71" s="2"/>
      <c r="N71" s="291"/>
      <c r="O71" s="168"/>
    </row>
    <row r="72" spans="1:15" ht="16.5" hidden="1" thickBot="1">
      <c r="A72" s="102">
        <v>1</v>
      </c>
      <c r="B72" s="40"/>
      <c r="C72" s="102"/>
      <c r="D72" s="65"/>
      <c r="E72" s="66" t="s">
        <v>15</v>
      </c>
      <c r="F72" s="67" t="e">
        <f>SUM(F61:F71)</f>
        <v>#NAME?</v>
      </c>
      <c r="G72" s="102"/>
      <c r="H72" s="65"/>
      <c r="I72" s="66" t="s">
        <v>15</v>
      </c>
      <c r="J72" s="67" t="e">
        <f>SUM(J61:J71)</f>
        <v>#NAME?</v>
      </c>
      <c r="L72" s="2"/>
      <c r="M72" s="9"/>
      <c r="N72" s="262"/>
      <c r="O72" s="168"/>
    </row>
    <row r="73" spans="1:15" ht="12.75" hidden="1">
      <c r="A73" s="102">
        <v>1</v>
      </c>
      <c r="B73" s="40"/>
      <c r="C73" s="102"/>
      <c r="D73" s="16">
        <v>703</v>
      </c>
      <c r="E73" s="68" t="s">
        <v>316</v>
      </c>
      <c r="F73" s="69" t="e">
        <f>(F72-F71)*0.0025</f>
        <v>#NAME?</v>
      </c>
      <c r="G73" s="102"/>
      <c r="H73" s="16">
        <v>703</v>
      </c>
      <c r="I73" s="68" t="s">
        <v>316</v>
      </c>
      <c r="J73" s="69" t="e">
        <f>(J72-J71)*0.0025</f>
        <v>#NAME?</v>
      </c>
      <c r="L73" s="2"/>
      <c r="M73" s="292"/>
      <c r="N73" s="5"/>
      <c r="O73" s="168"/>
    </row>
    <row r="74" spans="1:15" ht="12.75" hidden="1">
      <c r="A74" s="102">
        <v>1</v>
      </c>
      <c r="B74" s="40"/>
      <c r="C74" s="102"/>
      <c r="D74" s="17">
        <v>707</v>
      </c>
      <c r="E74" s="70" t="s">
        <v>17</v>
      </c>
      <c r="F74" s="15" t="e">
        <f>(F72-F71)*0.03</f>
        <v>#NAME?</v>
      </c>
      <c r="G74" s="102"/>
      <c r="H74" s="17">
        <v>707</v>
      </c>
      <c r="I74" s="70" t="s">
        <v>17</v>
      </c>
      <c r="J74" s="15" t="e">
        <f>(J72-J71)*0.03</f>
        <v>#NAME?</v>
      </c>
      <c r="L74" s="11"/>
      <c r="M74" s="293"/>
      <c r="N74" s="5"/>
      <c r="O74" s="168"/>
    </row>
    <row r="75" spans="1:15" ht="12.75" hidden="1">
      <c r="A75" s="102">
        <v>1</v>
      </c>
      <c r="B75" s="40"/>
      <c r="C75" s="102"/>
      <c r="D75" s="17">
        <v>709</v>
      </c>
      <c r="E75" s="70" t="s">
        <v>18</v>
      </c>
      <c r="F75" s="15" t="e">
        <f>(F72-F71)*0.0213</f>
        <v>#NAME?</v>
      </c>
      <c r="G75" s="102"/>
      <c r="H75" s="17">
        <v>709</v>
      </c>
      <c r="I75" s="70" t="s">
        <v>18</v>
      </c>
      <c r="J75" s="15" t="e">
        <f>(J72-J71)*0.0213</f>
        <v>#NAME?</v>
      </c>
      <c r="L75" s="11"/>
      <c r="M75" s="293"/>
      <c r="N75" s="5"/>
      <c r="O75" s="168"/>
    </row>
    <row r="76" spans="1:15" ht="12.75" hidden="1">
      <c r="A76" s="102">
        <v>1</v>
      </c>
      <c r="B76" s="40"/>
      <c r="C76" s="102"/>
      <c r="D76" s="14">
        <v>710</v>
      </c>
      <c r="E76" s="70" t="s">
        <v>19</v>
      </c>
      <c r="F76" s="15" t="e">
        <f>(F72-F71)*0.00754</f>
        <v>#NAME?</v>
      </c>
      <c r="G76" s="102"/>
      <c r="H76" s="14">
        <v>710</v>
      </c>
      <c r="I76" s="70" t="s">
        <v>19</v>
      </c>
      <c r="J76" s="15" t="e">
        <f>(J72-J71)*0.00754</f>
        <v>#NAME?</v>
      </c>
      <c r="L76" s="294"/>
      <c r="M76" s="293"/>
      <c r="N76" s="5"/>
      <c r="O76" s="168"/>
    </row>
    <row r="77" spans="1:15" ht="12.75" hidden="1">
      <c r="A77" s="102">
        <v>1</v>
      </c>
      <c r="B77" s="40"/>
      <c r="C77" s="102"/>
      <c r="D77" s="14">
        <v>713</v>
      </c>
      <c r="E77" s="70" t="s">
        <v>20</v>
      </c>
      <c r="F77" s="15" t="e">
        <f>(F72-F71)*0.007</f>
        <v>#NAME?</v>
      </c>
      <c r="G77" s="102"/>
      <c r="H77" s="14">
        <v>713</v>
      </c>
      <c r="I77" s="70" t="s">
        <v>20</v>
      </c>
      <c r="J77" s="15" t="e">
        <f>(J72-J71)*0.007</f>
        <v>#NAME?</v>
      </c>
      <c r="L77" s="294"/>
      <c r="M77" s="293"/>
      <c r="N77" s="5"/>
      <c r="O77" s="168"/>
    </row>
    <row r="78" spans="1:15" ht="13.5" hidden="1" thickBot="1">
      <c r="A78" s="102">
        <v>1</v>
      </c>
      <c r="B78" s="40"/>
      <c r="C78" s="102"/>
      <c r="D78" s="14"/>
      <c r="E78" s="71" t="s">
        <v>21</v>
      </c>
      <c r="F78" s="39">
        <v>0</v>
      </c>
      <c r="G78" s="102"/>
      <c r="H78" s="14"/>
      <c r="I78" s="71" t="s">
        <v>21</v>
      </c>
      <c r="J78" s="39">
        <v>0</v>
      </c>
      <c r="L78" s="294"/>
      <c r="M78" s="293"/>
      <c r="N78" s="295"/>
      <c r="O78" s="168"/>
    </row>
    <row r="79" spans="1:15" ht="16.5" hidden="1" thickBot="1">
      <c r="A79" s="102">
        <v>1</v>
      </c>
      <c r="B79" s="40"/>
      <c r="C79" s="102"/>
      <c r="D79" s="72"/>
      <c r="E79" s="66" t="s">
        <v>22</v>
      </c>
      <c r="F79" s="67" t="e">
        <f>SUM(F73:F78)</f>
        <v>#NAME?</v>
      </c>
      <c r="G79" s="102"/>
      <c r="H79" s="72"/>
      <c r="I79" s="66" t="s">
        <v>22</v>
      </c>
      <c r="J79" s="67" t="e">
        <f>SUM(J73:J78)</f>
        <v>#NAME?</v>
      </c>
      <c r="L79" s="11"/>
      <c r="M79" s="9"/>
      <c r="N79" s="262"/>
      <c r="O79" s="168"/>
    </row>
    <row r="80" spans="1:15" ht="13.5" hidden="1" thickBot="1">
      <c r="A80" s="102">
        <v>1</v>
      </c>
      <c r="B80" s="40"/>
      <c r="C80" s="102"/>
      <c r="D80" s="73"/>
      <c r="E80" s="74"/>
      <c r="F80" s="75"/>
      <c r="G80" s="102"/>
      <c r="H80" s="73"/>
      <c r="I80" s="74"/>
      <c r="J80" s="75"/>
      <c r="L80" s="48"/>
      <c r="M80" s="2"/>
      <c r="N80" s="6"/>
      <c r="O80" s="168"/>
    </row>
    <row r="81" spans="1:15" ht="16.5" hidden="1" thickBot="1">
      <c r="A81" s="102">
        <v>1</v>
      </c>
      <c r="B81" s="79"/>
      <c r="C81" s="102"/>
      <c r="D81" s="76"/>
      <c r="E81" s="77" t="s">
        <v>23</v>
      </c>
      <c r="F81" s="78" t="e">
        <f>F72-F79</f>
        <v>#NAME?</v>
      </c>
      <c r="G81" s="102"/>
      <c r="H81" s="76"/>
      <c r="I81" s="77" t="s">
        <v>23</v>
      </c>
      <c r="J81" s="78" t="e">
        <f>J72-J79</f>
        <v>#NAME?</v>
      </c>
      <c r="L81" s="4"/>
      <c r="M81" s="143"/>
      <c r="N81" s="145"/>
      <c r="O81" s="168"/>
    </row>
    <row r="82" spans="1:15" ht="12.75" hidden="1">
      <c r="A82" s="102"/>
      <c r="B82" s="79"/>
      <c r="C82" s="102"/>
      <c r="G82" s="102"/>
      <c r="L82" s="168"/>
      <c r="M82" s="168"/>
      <c r="N82" s="168"/>
      <c r="O82" s="168"/>
    </row>
    <row r="83" spans="1:7" ht="12.75" hidden="1">
      <c r="A83" s="102">
        <v>1</v>
      </c>
      <c r="B83" s="79"/>
      <c r="C83" s="113"/>
      <c r="G83" s="102"/>
    </row>
    <row r="84" spans="1:17" ht="15.75" hidden="1">
      <c r="A84" s="102">
        <v>1</v>
      </c>
      <c r="B84" s="79"/>
      <c r="C84" s="113"/>
      <c r="D84" s="114"/>
      <c r="E84" s="115"/>
      <c r="F84" s="79"/>
      <c r="G84" s="113"/>
      <c r="H84" s="116"/>
      <c r="I84" s="117"/>
      <c r="J84" s="117"/>
      <c r="K84" s="117"/>
      <c r="L84" s="117"/>
      <c r="M84" s="79"/>
      <c r="N84" s="177"/>
      <c r="O84" s="40"/>
      <c r="P84" s="10"/>
      <c r="Q84" s="10"/>
    </row>
    <row r="85" ht="21.75" customHeight="1" hidden="1"/>
    <row r="86" spans="3:16" s="166" customFormat="1" ht="15.75" hidden="1">
      <c r="C86" s="162"/>
      <c r="F86" s="104"/>
      <c r="G86" s="95"/>
      <c r="H86" s="48"/>
      <c r="I86" s="48"/>
      <c r="J86" s="104"/>
      <c r="K86" s="11"/>
      <c r="L86" s="95"/>
      <c r="M86" s="95"/>
      <c r="N86" s="95"/>
      <c r="O86" s="95"/>
      <c r="P86" s="95"/>
    </row>
    <row r="87" spans="1:20" ht="16.5" hidden="1" thickBot="1">
      <c r="A87">
        <v>2</v>
      </c>
      <c r="F87" t="s">
        <v>345</v>
      </c>
      <c r="G87" s="10" t="s">
        <v>347</v>
      </c>
      <c r="H87" s="10" t="s">
        <v>348</v>
      </c>
      <c r="I87" s="94" t="s">
        <v>349</v>
      </c>
      <c r="J87" s="94" t="s">
        <v>350</v>
      </c>
      <c r="K87" s="94" t="s">
        <v>351</v>
      </c>
      <c r="L87" s="94" t="s">
        <v>352</v>
      </c>
      <c r="M87" s="94" t="s">
        <v>353</v>
      </c>
      <c r="N87" s="94" t="s">
        <v>354</v>
      </c>
      <c r="O87" s="96" t="s">
        <v>355</v>
      </c>
      <c r="P87" s="96">
        <v>1</v>
      </c>
      <c r="Q87" s="96">
        <v>2</v>
      </c>
      <c r="R87" s="96">
        <v>3</v>
      </c>
      <c r="S87" s="96">
        <v>4</v>
      </c>
      <c r="T87" s="96">
        <v>5</v>
      </c>
    </row>
    <row r="88" spans="1:20" ht="15.75" hidden="1">
      <c r="A88">
        <v>2</v>
      </c>
      <c r="E88" s="87">
        <v>0</v>
      </c>
      <c r="F88" s="261" t="e">
        <f aca="true" t="shared" si="14" ref="F88:F99">IF(puntosproljorvarios2&lt;620,T88,O88)</f>
        <v>#NAME?</v>
      </c>
      <c r="G88" s="257">
        <v>409</v>
      </c>
      <c r="H88" s="257">
        <v>99</v>
      </c>
      <c r="I88" s="257">
        <v>0</v>
      </c>
      <c r="J88" s="257">
        <v>0</v>
      </c>
      <c r="K88" s="257">
        <v>0</v>
      </c>
      <c r="L88" s="257">
        <v>0</v>
      </c>
      <c r="M88" s="257">
        <v>99</v>
      </c>
      <c r="N88" s="257">
        <v>99</v>
      </c>
      <c r="O88" s="97">
        <f aca="true" t="shared" si="15" ref="O88:O99">IF(punbasjubvarios2&gt;971,N88,M88)</f>
        <v>99</v>
      </c>
      <c r="P88" s="97">
        <f>IF(punbasjubvarios2&lt;972,G88,H88)</f>
        <v>409</v>
      </c>
      <c r="Q88" s="97">
        <f aca="true" t="shared" si="16" ref="Q88:Q99">IF(punbasjubvarios1&lt;1170,P88,I88)</f>
        <v>0</v>
      </c>
      <c r="R88" s="97">
        <f aca="true" t="shared" si="17" ref="R88:R99">IF(punbasjubvarios2&lt;1401,Q88,J88)</f>
        <v>0</v>
      </c>
      <c r="S88" s="97">
        <f aca="true" t="shared" si="18" ref="S88:S99">IF(punbasjubvarios2&lt;1943,R88,K88)</f>
        <v>0</v>
      </c>
      <c r="T88" s="97">
        <f aca="true" t="shared" si="19" ref="T88:T99">IF(punbasjubvarios2&lt;=2220,S88,L88)</f>
        <v>0</v>
      </c>
    </row>
    <row r="89" spans="1:20" ht="15.75" hidden="1">
      <c r="A89">
        <v>2</v>
      </c>
      <c r="E89" s="88">
        <v>0.1</v>
      </c>
      <c r="F89" s="261" t="e">
        <f t="shared" si="14"/>
        <v>#NAME?</v>
      </c>
      <c r="G89" s="257">
        <v>581</v>
      </c>
      <c r="H89" s="257">
        <v>112</v>
      </c>
      <c r="I89" s="257">
        <v>0</v>
      </c>
      <c r="J89" s="257">
        <v>0</v>
      </c>
      <c r="K89" s="257">
        <v>0</v>
      </c>
      <c r="L89" s="257">
        <v>0</v>
      </c>
      <c r="M89" s="257">
        <v>112</v>
      </c>
      <c r="N89" s="257">
        <v>112</v>
      </c>
      <c r="O89" s="97">
        <f t="shared" si="15"/>
        <v>112</v>
      </c>
      <c r="P89" s="97">
        <f aca="true" t="shared" si="20" ref="P89:P99">IF(punbasjubvarios1&lt;972,G89,H89)</f>
        <v>112</v>
      </c>
      <c r="Q89" s="97">
        <f t="shared" si="16"/>
        <v>0</v>
      </c>
      <c r="R89" s="97">
        <f t="shared" si="17"/>
        <v>0</v>
      </c>
      <c r="S89" s="97">
        <f t="shared" si="18"/>
        <v>0</v>
      </c>
      <c r="T89" s="97">
        <f t="shared" si="19"/>
        <v>0</v>
      </c>
    </row>
    <row r="90" spans="1:20" ht="15.75" hidden="1">
      <c r="A90">
        <v>2</v>
      </c>
      <c r="E90" s="89">
        <v>0.15</v>
      </c>
      <c r="F90" s="261" t="e">
        <f t="shared" si="14"/>
        <v>#NAME?</v>
      </c>
      <c r="G90" s="257">
        <v>705</v>
      </c>
      <c r="H90" s="257">
        <v>224</v>
      </c>
      <c r="I90" s="257">
        <v>298</v>
      </c>
      <c r="J90" s="257">
        <v>240</v>
      </c>
      <c r="K90" s="257">
        <v>224</v>
      </c>
      <c r="L90" s="257">
        <v>0</v>
      </c>
      <c r="M90" s="257">
        <v>273</v>
      </c>
      <c r="N90" s="257">
        <v>273</v>
      </c>
      <c r="O90" s="97">
        <f t="shared" si="15"/>
        <v>273</v>
      </c>
      <c r="P90" s="97">
        <f t="shared" si="20"/>
        <v>224</v>
      </c>
      <c r="Q90" s="97">
        <f t="shared" si="16"/>
        <v>298</v>
      </c>
      <c r="R90" s="97">
        <f t="shared" si="17"/>
        <v>298</v>
      </c>
      <c r="S90" s="97">
        <f t="shared" si="18"/>
        <v>298</v>
      </c>
      <c r="T90" s="97">
        <f t="shared" si="19"/>
        <v>298</v>
      </c>
    </row>
    <row r="91" spans="1:20" ht="15.75" hidden="1">
      <c r="A91">
        <v>2</v>
      </c>
      <c r="E91" s="89">
        <v>0.3</v>
      </c>
      <c r="F91" s="261" t="e">
        <f t="shared" si="14"/>
        <v>#NAME?</v>
      </c>
      <c r="G91" s="257">
        <v>733</v>
      </c>
      <c r="H91" s="257">
        <v>242</v>
      </c>
      <c r="I91" s="257">
        <v>298</v>
      </c>
      <c r="J91" s="257">
        <v>240</v>
      </c>
      <c r="K91" s="257">
        <v>224</v>
      </c>
      <c r="L91" s="257">
        <v>0</v>
      </c>
      <c r="M91" s="257">
        <v>472</v>
      </c>
      <c r="N91" s="257">
        <v>435</v>
      </c>
      <c r="O91" s="97">
        <f t="shared" si="15"/>
        <v>472</v>
      </c>
      <c r="P91" s="97">
        <f t="shared" si="20"/>
        <v>242</v>
      </c>
      <c r="Q91" s="97">
        <f t="shared" si="16"/>
        <v>298</v>
      </c>
      <c r="R91" s="97">
        <f t="shared" si="17"/>
        <v>298</v>
      </c>
      <c r="S91" s="97">
        <f t="shared" si="18"/>
        <v>298</v>
      </c>
      <c r="T91" s="97">
        <f t="shared" si="19"/>
        <v>298</v>
      </c>
    </row>
    <row r="92" spans="1:20" ht="15.75" hidden="1">
      <c r="A92">
        <v>2</v>
      </c>
      <c r="E92" s="89">
        <v>0.4</v>
      </c>
      <c r="F92" s="261" t="e">
        <f t="shared" si="14"/>
        <v>#NAME?</v>
      </c>
      <c r="G92" s="257">
        <v>796</v>
      </c>
      <c r="H92" s="257">
        <v>261</v>
      </c>
      <c r="I92" s="257">
        <v>311</v>
      </c>
      <c r="J92" s="257">
        <v>248</v>
      </c>
      <c r="K92" s="257">
        <v>224</v>
      </c>
      <c r="L92" s="257">
        <v>174</v>
      </c>
      <c r="M92" s="257">
        <v>546</v>
      </c>
      <c r="N92" s="257">
        <v>497</v>
      </c>
      <c r="O92" s="97">
        <f t="shared" si="15"/>
        <v>546</v>
      </c>
      <c r="P92" s="97">
        <f t="shared" si="20"/>
        <v>261</v>
      </c>
      <c r="Q92" s="97">
        <f t="shared" si="16"/>
        <v>311</v>
      </c>
      <c r="R92" s="97">
        <f t="shared" si="17"/>
        <v>311</v>
      </c>
      <c r="S92" s="97">
        <f t="shared" si="18"/>
        <v>311</v>
      </c>
      <c r="T92" s="97">
        <f t="shared" si="19"/>
        <v>311</v>
      </c>
    </row>
    <row r="93" spans="1:20" ht="15.75" hidden="1">
      <c r="A93">
        <v>2</v>
      </c>
      <c r="E93" s="89">
        <v>0.5</v>
      </c>
      <c r="F93" s="261" t="e">
        <f t="shared" si="14"/>
        <v>#NAME?</v>
      </c>
      <c r="G93" s="257">
        <v>575</v>
      </c>
      <c r="H93" s="257">
        <v>286</v>
      </c>
      <c r="I93" s="257">
        <v>311</v>
      </c>
      <c r="J93" s="257">
        <v>248</v>
      </c>
      <c r="K93" s="257">
        <v>224</v>
      </c>
      <c r="L93" s="257">
        <v>174</v>
      </c>
      <c r="M93" s="257">
        <v>590</v>
      </c>
      <c r="N93" s="257">
        <v>540</v>
      </c>
      <c r="O93" s="97">
        <f t="shared" si="15"/>
        <v>590</v>
      </c>
      <c r="P93" s="97">
        <f t="shared" si="20"/>
        <v>286</v>
      </c>
      <c r="Q93" s="97">
        <f t="shared" si="16"/>
        <v>311</v>
      </c>
      <c r="R93" s="97">
        <f t="shared" si="17"/>
        <v>311</v>
      </c>
      <c r="S93" s="97">
        <f t="shared" si="18"/>
        <v>311</v>
      </c>
      <c r="T93" s="97">
        <f t="shared" si="19"/>
        <v>311</v>
      </c>
    </row>
    <row r="94" spans="1:20" ht="15.75" hidden="1">
      <c r="A94">
        <v>2</v>
      </c>
      <c r="E94" s="89">
        <v>0.6</v>
      </c>
      <c r="F94" s="261" t="e">
        <f t="shared" si="14"/>
        <v>#NAME?</v>
      </c>
      <c r="G94" s="257">
        <v>578</v>
      </c>
      <c r="H94" s="257">
        <v>323</v>
      </c>
      <c r="I94" s="257">
        <v>323</v>
      </c>
      <c r="J94" s="257">
        <v>252</v>
      </c>
      <c r="K94" s="257">
        <v>236</v>
      </c>
      <c r="L94" s="257">
        <v>199</v>
      </c>
      <c r="M94" s="257">
        <v>633</v>
      </c>
      <c r="N94" s="257">
        <v>559</v>
      </c>
      <c r="O94" s="97">
        <f t="shared" si="15"/>
        <v>633</v>
      </c>
      <c r="P94" s="97">
        <f t="shared" si="20"/>
        <v>323</v>
      </c>
      <c r="Q94" s="97">
        <f t="shared" si="16"/>
        <v>323</v>
      </c>
      <c r="R94" s="97">
        <f t="shared" si="17"/>
        <v>323</v>
      </c>
      <c r="S94" s="97">
        <f t="shared" si="18"/>
        <v>323</v>
      </c>
      <c r="T94" s="97">
        <f t="shared" si="19"/>
        <v>323</v>
      </c>
    </row>
    <row r="95" spans="1:20" ht="15.75" hidden="1">
      <c r="A95">
        <v>2</v>
      </c>
      <c r="E95" s="89">
        <v>0.7</v>
      </c>
      <c r="F95" s="261" t="e">
        <f t="shared" si="14"/>
        <v>#NAME?</v>
      </c>
      <c r="G95" s="257">
        <v>553</v>
      </c>
      <c r="H95" s="257">
        <v>354</v>
      </c>
      <c r="I95" s="257">
        <v>453</v>
      </c>
      <c r="J95" s="257">
        <v>286</v>
      </c>
      <c r="K95" s="257">
        <v>236</v>
      </c>
      <c r="L95" s="257">
        <v>199</v>
      </c>
      <c r="M95" s="257">
        <v>652</v>
      </c>
      <c r="N95" s="257">
        <v>578</v>
      </c>
      <c r="O95" s="97">
        <f t="shared" si="15"/>
        <v>652</v>
      </c>
      <c r="P95" s="97">
        <f t="shared" si="20"/>
        <v>354</v>
      </c>
      <c r="Q95" s="97">
        <f t="shared" si="16"/>
        <v>453</v>
      </c>
      <c r="R95" s="97">
        <f t="shared" si="17"/>
        <v>453</v>
      </c>
      <c r="S95" s="97">
        <f t="shared" si="18"/>
        <v>453</v>
      </c>
      <c r="T95" s="97">
        <f t="shared" si="19"/>
        <v>453</v>
      </c>
    </row>
    <row r="96" spans="1:20" ht="15.75" hidden="1">
      <c r="A96">
        <v>2</v>
      </c>
      <c r="E96" s="89">
        <v>0.8</v>
      </c>
      <c r="F96" s="261" t="e">
        <f t="shared" si="14"/>
        <v>#NAME?</v>
      </c>
      <c r="G96" s="257">
        <v>664</v>
      </c>
      <c r="H96" s="257">
        <v>428</v>
      </c>
      <c r="I96" s="257">
        <v>491</v>
      </c>
      <c r="J96" s="257">
        <v>422</v>
      </c>
      <c r="K96" s="257">
        <v>348</v>
      </c>
      <c r="L96" s="257">
        <v>224</v>
      </c>
      <c r="M96" s="257">
        <v>689</v>
      </c>
      <c r="N96" s="257">
        <v>590</v>
      </c>
      <c r="O96" s="97">
        <f t="shared" si="15"/>
        <v>689</v>
      </c>
      <c r="P96" s="97">
        <f t="shared" si="20"/>
        <v>428</v>
      </c>
      <c r="Q96" s="97">
        <f t="shared" si="16"/>
        <v>491</v>
      </c>
      <c r="R96" s="97">
        <f t="shared" si="17"/>
        <v>491</v>
      </c>
      <c r="S96" s="97">
        <f t="shared" si="18"/>
        <v>491</v>
      </c>
      <c r="T96" s="97">
        <f t="shared" si="19"/>
        <v>491</v>
      </c>
    </row>
    <row r="97" spans="1:20" ht="15.75" hidden="1">
      <c r="A97">
        <v>2</v>
      </c>
      <c r="E97" s="89">
        <v>1</v>
      </c>
      <c r="F97" s="261" t="e">
        <f t="shared" si="14"/>
        <v>#NAME?</v>
      </c>
      <c r="G97" s="257">
        <v>826</v>
      </c>
      <c r="H97" s="257">
        <v>540</v>
      </c>
      <c r="I97" s="257">
        <v>509</v>
      </c>
      <c r="J97" s="257">
        <v>410</v>
      </c>
      <c r="K97" s="257">
        <v>385</v>
      </c>
      <c r="L97" s="257">
        <v>224</v>
      </c>
      <c r="M97" s="257">
        <v>733</v>
      </c>
      <c r="N97" s="257">
        <v>609</v>
      </c>
      <c r="O97" s="97">
        <f t="shared" si="15"/>
        <v>733</v>
      </c>
      <c r="P97" s="97">
        <f t="shared" si="20"/>
        <v>540</v>
      </c>
      <c r="Q97" s="97">
        <f t="shared" si="16"/>
        <v>509</v>
      </c>
      <c r="R97" s="97">
        <f t="shared" si="17"/>
        <v>509</v>
      </c>
      <c r="S97" s="97">
        <f t="shared" si="18"/>
        <v>509</v>
      </c>
      <c r="T97" s="97">
        <f t="shared" si="19"/>
        <v>509</v>
      </c>
    </row>
    <row r="98" spans="1:20" ht="15.75" hidden="1">
      <c r="A98">
        <v>2</v>
      </c>
      <c r="E98" s="89">
        <v>1.1</v>
      </c>
      <c r="F98" s="261" t="e">
        <f t="shared" si="14"/>
        <v>#NAME?</v>
      </c>
      <c r="G98" s="257">
        <v>925</v>
      </c>
      <c r="H98" s="257">
        <v>615</v>
      </c>
      <c r="I98" s="257">
        <v>534</v>
      </c>
      <c r="J98" s="257">
        <v>410</v>
      </c>
      <c r="K98" s="257">
        <v>397</v>
      </c>
      <c r="L98" s="257">
        <v>236</v>
      </c>
      <c r="M98" s="257">
        <v>764</v>
      </c>
      <c r="N98" s="257">
        <v>627</v>
      </c>
      <c r="O98" s="97">
        <f t="shared" si="15"/>
        <v>764</v>
      </c>
      <c r="P98" s="97">
        <f t="shared" si="20"/>
        <v>615</v>
      </c>
      <c r="Q98" s="97">
        <f t="shared" si="16"/>
        <v>534</v>
      </c>
      <c r="R98" s="97">
        <f t="shared" si="17"/>
        <v>534</v>
      </c>
      <c r="S98" s="97">
        <f t="shared" si="18"/>
        <v>534</v>
      </c>
      <c r="T98" s="97">
        <f t="shared" si="19"/>
        <v>534</v>
      </c>
    </row>
    <row r="99" spans="1:20" ht="16.5" hidden="1" thickBot="1">
      <c r="A99">
        <v>2</v>
      </c>
      <c r="E99" s="90">
        <v>1.2</v>
      </c>
      <c r="F99" s="261" t="e">
        <f t="shared" si="14"/>
        <v>#NAME?</v>
      </c>
      <c r="G99" s="257">
        <v>956</v>
      </c>
      <c r="H99" s="257">
        <v>633</v>
      </c>
      <c r="I99" s="257">
        <v>596</v>
      </c>
      <c r="J99" s="257">
        <v>416</v>
      </c>
      <c r="K99" s="257">
        <v>410</v>
      </c>
      <c r="L99" s="257">
        <v>236</v>
      </c>
      <c r="M99" s="257">
        <v>770</v>
      </c>
      <c r="N99" s="257">
        <v>633</v>
      </c>
      <c r="O99" s="97">
        <f t="shared" si="15"/>
        <v>770</v>
      </c>
      <c r="P99" s="97">
        <f t="shared" si="20"/>
        <v>633</v>
      </c>
      <c r="Q99" s="97">
        <f t="shared" si="16"/>
        <v>596</v>
      </c>
      <c r="R99" s="97">
        <f t="shared" si="17"/>
        <v>596</v>
      </c>
      <c r="S99" s="97">
        <f t="shared" si="18"/>
        <v>596</v>
      </c>
      <c r="T99" s="97">
        <f t="shared" si="19"/>
        <v>596</v>
      </c>
    </row>
    <row r="100" spans="1:20" s="161" customFormat="1" ht="15.75" hidden="1">
      <c r="A100">
        <v>2</v>
      </c>
      <c r="E100" s="162"/>
      <c r="F100" s="104"/>
      <c r="G100" s="104"/>
      <c r="H100" s="163"/>
      <c r="I100" s="164"/>
      <c r="J100" s="164"/>
      <c r="K100" s="104"/>
      <c r="L100" s="11"/>
      <c r="M100" s="95"/>
      <c r="N100" s="95"/>
      <c r="O100" s="95"/>
      <c r="P100" s="95"/>
      <c r="Q100" s="95"/>
      <c r="R100" s="95"/>
      <c r="S100" s="95"/>
      <c r="T100" s="95"/>
    </row>
    <row r="101" spans="1:20" s="161" customFormat="1" ht="15.75" hidden="1">
      <c r="A101">
        <v>2</v>
      </c>
      <c r="E101" s="162"/>
      <c r="F101" s="104" t="s">
        <v>377</v>
      </c>
      <c r="G101" s="104" t="e">
        <f>LOOKUP(F134,porantvar2,cod06cargosvar2feb11)</f>
        <v>#NAME?</v>
      </c>
      <c r="H101" s="163"/>
      <c r="I101" s="164"/>
      <c r="J101" s="164"/>
      <c r="K101" s="104"/>
      <c r="L101" s="11"/>
      <c r="M101" s="95"/>
      <c r="N101" s="95"/>
      <c r="O101" s="95"/>
      <c r="P101" s="95"/>
      <c r="Q101" s="95"/>
      <c r="R101" s="95"/>
      <c r="S101" s="95"/>
      <c r="T101" s="95"/>
    </row>
    <row r="102" spans="1:20" s="161" customFormat="1" ht="15.75" hidden="1">
      <c r="A102"/>
      <c r="E102" s="162"/>
      <c r="F102" s="104"/>
      <c r="G102" s="104"/>
      <c r="H102" s="163"/>
      <c r="I102" s="164"/>
      <c r="J102" s="164"/>
      <c r="K102" s="104"/>
      <c r="L102" s="11"/>
      <c r="M102" s="95"/>
      <c r="N102" s="95"/>
      <c r="O102" s="95"/>
      <c r="P102" s="95"/>
      <c r="Q102" s="95"/>
      <c r="R102" s="95"/>
      <c r="S102" s="95"/>
      <c r="T102" s="95"/>
    </row>
    <row r="103" spans="1:20" ht="16.5" hidden="1" thickBot="1">
      <c r="A103">
        <v>2</v>
      </c>
      <c r="F103" t="s">
        <v>345</v>
      </c>
      <c r="G103" s="10" t="s">
        <v>347</v>
      </c>
      <c r="H103" s="10" t="s">
        <v>348</v>
      </c>
      <c r="I103" s="94" t="s">
        <v>349</v>
      </c>
      <c r="J103" s="94" t="s">
        <v>350</v>
      </c>
      <c r="K103" s="94" t="s">
        <v>351</v>
      </c>
      <c r="L103" s="94" t="s">
        <v>352</v>
      </c>
      <c r="M103" s="94" t="s">
        <v>353</v>
      </c>
      <c r="N103" s="94" t="s">
        <v>354</v>
      </c>
      <c r="O103" s="96" t="s">
        <v>355</v>
      </c>
      <c r="P103" s="96">
        <v>1</v>
      </c>
      <c r="Q103" s="96">
        <v>2</v>
      </c>
      <c r="R103" s="96">
        <v>3</v>
      </c>
      <c r="S103" s="96">
        <v>4</v>
      </c>
      <c r="T103" s="96">
        <v>5</v>
      </c>
    </row>
    <row r="104" spans="1:20" ht="15.75" hidden="1">
      <c r="A104">
        <v>2</v>
      </c>
      <c r="E104" s="87">
        <v>0</v>
      </c>
      <c r="F104" s="261" t="e">
        <f aca="true" t="shared" si="21" ref="F104:F115">IF(puntosproljorvarios2&lt;620,T104,O104)</f>
        <v>#NAME?</v>
      </c>
      <c r="G104" s="10">
        <v>499</v>
      </c>
      <c r="H104" s="10">
        <v>121</v>
      </c>
      <c r="I104" s="10">
        <v>0</v>
      </c>
      <c r="J104" s="10">
        <v>0</v>
      </c>
      <c r="K104" s="10">
        <v>0</v>
      </c>
      <c r="L104" s="10">
        <v>0</v>
      </c>
      <c r="M104" s="10">
        <v>121</v>
      </c>
      <c r="N104" s="10">
        <v>121</v>
      </c>
      <c r="O104" s="97">
        <f aca="true" t="shared" si="22" ref="O104:O115">IF(punbasjubvarios2&gt;971,N104,M104)</f>
        <v>121</v>
      </c>
      <c r="P104" s="97">
        <f>IF(punbasjubvarios2&lt;972,G104,H104)</f>
        <v>499</v>
      </c>
      <c r="Q104" s="97">
        <f aca="true" t="shared" si="23" ref="Q104:Q115">IF(punbasjubvarios1&lt;1170,P104,I104)</f>
        <v>0</v>
      </c>
      <c r="R104" s="97">
        <f aca="true" t="shared" si="24" ref="R104:R115">IF(punbasjubvarios2&lt;1401,Q104,J104)</f>
        <v>0</v>
      </c>
      <c r="S104" s="97">
        <f aca="true" t="shared" si="25" ref="S104:S115">IF(punbasjubvarios2&lt;1943,R104,K104)</f>
        <v>0</v>
      </c>
      <c r="T104" s="97">
        <f aca="true" t="shared" si="26" ref="T104:T115">IF(punbasjubvarios2&lt;=2220,S104,L104)</f>
        <v>0</v>
      </c>
    </row>
    <row r="105" spans="1:20" ht="15.75" hidden="1">
      <c r="A105">
        <v>2</v>
      </c>
      <c r="E105" s="88">
        <v>0.1</v>
      </c>
      <c r="F105" s="261" t="e">
        <f t="shared" si="21"/>
        <v>#NAME?</v>
      </c>
      <c r="G105" s="10">
        <v>709</v>
      </c>
      <c r="H105" s="10">
        <v>137</v>
      </c>
      <c r="I105" s="10">
        <v>0</v>
      </c>
      <c r="J105" s="10">
        <v>0</v>
      </c>
      <c r="K105" s="10">
        <v>0</v>
      </c>
      <c r="L105" s="10">
        <v>0</v>
      </c>
      <c r="M105" s="10">
        <v>137</v>
      </c>
      <c r="N105" s="10">
        <v>137</v>
      </c>
      <c r="O105" s="97">
        <f t="shared" si="22"/>
        <v>137</v>
      </c>
      <c r="P105" s="97">
        <f aca="true" t="shared" si="27" ref="P105:P115">IF(punbasjubvarios1&lt;972,G105,H105)</f>
        <v>137</v>
      </c>
      <c r="Q105" s="97">
        <f t="shared" si="23"/>
        <v>0</v>
      </c>
      <c r="R105" s="97">
        <f t="shared" si="24"/>
        <v>0</v>
      </c>
      <c r="S105" s="97">
        <f t="shared" si="25"/>
        <v>0</v>
      </c>
      <c r="T105" s="97">
        <f t="shared" si="26"/>
        <v>0</v>
      </c>
    </row>
    <row r="106" spans="1:20" ht="15.75" hidden="1">
      <c r="A106">
        <v>2</v>
      </c>
      <c r="E106" s="89">
        <v>0.15</v>
      </c>
      <c r="F106" s="261" t="e">
        <f t="shared" si="21"/>
        <v>#NAME?</v>
      </c>
      <c r="G106" s="10">
        <v>860</v>
      </c>
      <c r="H106" s="10">
        <v>273</v>
      </c>
      <c r="I106" s="10">
        <v>364</v>
      </c>
      <c r="J106" s="10">
        <v>293</v>
      </c>
      <c r="K106" s="10">
        <v>273</v>
      </c>
      <c r="L106" s="10">
        <v>0</v>
      </c>
      <c r="M106" s="10">
        <v>333</v>
      </c>
      <c r="N106" s="10">
        <v>333</v>
      </c>
      <c r="O106" s="97">
        <f t="shared" si="22"/>
        <v>333</v>
      </c>
      <c r="P106" s="97">
        <f t="shared" si="27"/>
        <v>273</v>
      </c>
      <c r="Q106" s="97">
        <f t="shared" si="23"/>
        <v>364</v>
      </c>
      <c r="R106" s="97">
        <f t="shared" si="24"/>
        <v>364</v>
      </c>
      <c r="S106" s="97">
        <f t="shared" si="25"/>
        <v>364</v>
      </c>
      <c r="T106" s="97">
        <f t="shared" si="26"/>
        <v>364</v>
      </c>
    </row>
    <row r="107" spans="1:20" ht="15.75" hidden="1">
      <c r="A107">
        <v>2</v>
      </c>
      <c r="E107" s="89">
        <v>0.3</v>
      </c>
      <c r="F107" s="261" t="e">
        <f t="shared" si="21"/>
        <v>#NAME?</v>
      </c>
      <c r="G107" s="10">
        <v>894</v>
      </c>
      <c r="H107" s="10">
        <v>295</v>
      </c>
      <c r="I107" s="10">
        <v>364</v>
      </c>
      <c r="J107" s="10">
        <v>293</v>
      </c>
      <c r="K107" s="10">
        <v>273</v>
      </c>
      <c r="L107" s="10">
        <v>0</v>
      </c>
      <c r="M107" s="10">
        <v>576</v>
      </c>
      <c r="N107" s="10">
        <v>531</v>
      </c>
      <c r="O107" s="97">
        <f t="shared" si="22"/>
        <v>576</v>
      </c>
      <c r="P107" s="97">
        <f t="shared" si="27"/>
        <v>295</v>
      </c>
      <c r="Q107" s="97">
        <f t="shared" si="23"/>
        <v>364</v>
      </c>
      <c r="R107" s="97">
        <f t="shared" si="24"/>
        <v>364</v>
      </c>
      <c r="S107" s="97">
        <f t="shared" si="25"/>
        <v>364</v>
      </c>
      <c r="T107" s="97">
        <f t="shared" si="26"/>
        <v>364</v>
      </c>
    </row>
    <row r="108" spans="1:20" ht="15.75" hidden="1">
      <c r="A108">
        <v>2</v>
      </c>
      <c r="E108" s="89">
        <v>0.4</v>
      </c>
      <c r="F108" s="261" t="e">
        <f t="shared" si="21"/>
        <v>#NAME?</v>
      </c>
      <c r="G108" s="10">
        <v>806</v>
      </c>
      <c r="H108" s="10">
        <v>318</v>
      </c>
      <c r="I108" s="10">
        <v>379</v>
      </c>
      <c r="J108" s="10">
        <v>303</v>
      </c>
      <c r="K108" s="10">
        <v>273</v>
      </c>
      <c r="L108" s="10">
        <v>212</v>
      </c>
      <c r="M108" s="10">
        <v>666</v>
      </c>
      <c r="N108" s="10">
        <v>606</v>
      </c>
      <c r="O108" s="97">
        <f t="shared" si="22"/>
        <v>666</v>
      </c>
      <c r="P108" s="97">
        <f t="shared" si="27"/>
        <v>318</v>
      </c>
      <c r="Q108" s="97">
        <f t="shared" si="23"/>
        <v>379</v>
      </c>
      <c r="R108" s="97">
        <f t="shared" si="24"/>
        <v>379</v>
      </c>
      <c r="S108" s="97">
        <f t="shared" si="25"/>
        <v>379</v>
      </c>
      <c r="T108" s="97">
        <f t="shared" si="26"/>
        <v>379</v>
      </c>
    </row>
    <row r="109" spans="1:20" ht="15.75" hidden="1">
      <c r="A109">
        <v>2</v>
      </c>
      <c r="E109" s="89">
        <v>0.5</v>
      </c>
      <c r="F109" s="261" t="e">
        <f t="shared" si="21"/>
        <v>#NAME?</v>
      </c>
      <c r="G109" s="10">
        <v>702</v>
      </c>
      <c r="H109" s="10">
        <v>349</v>
      </c>
      <c r="I109" s="10">
        <v>379</v>
      </c>
      <c r="J109" s="10">
        <v>303</v>
      </c>
      <c r="K109" s="10">
        <v>273</v>
      </c>
      <c r="L109" s="10">
        <v>212</v>
      </c>
      <c r="M109" s="10">
        <v>720</v>
      </c>
      <c r="N109" s="10">
        <v>659</v>
      </c>
      <c r="O109" s="97">
        <f t="shared" si="22"/>
        <v>720</v>
      </c>
      <c r="P109" s="97">
        <f t="shared" si="27"/>
        <v>349</v>
      </c>
      <c r="Q109" s="97">
        <f t="shared" si="23"/>
        <v>379</v>
      </c>
      <c r="R109" s="97">
        <f t="shared" si="24"/>
        <v>379</v>
      </c>
      <c r="S109" s="97">
        <f t="shared" si="25"/>
        <v>379</v>
      </c>
      <c r="T109" s="97">
        <f t="shared" si="26"/>
        <v>379</v>
      </c>
    </row>
    <row r="110" spans="1:20" ht="15.75" hidden="1">
      <c r="A110">
        <v>2</v>
      </c>
      <c r="E110" s="89">
        <v>0.6</v>
      </c>
      <c r="F110" s="261" t="e">
        <f t="shared" si="21"/>
        <v>#NAME?</v>
      </c>
      <c r="G110" s="10">
        <v>705</v>
      </c>
      <c r="H110" s="10">
        <v>394</v>
      </c>
      <c r="I110" s="10">
        <v>394</v>
      </c>
      <c r="J110" s="10">
        <v>307</v>
      </c>
      <c r="K110" s="10">
        <v>288</v>
      </c>
      <c r="L110" s="10">
        <v>243</v>
      </c>
      <c r="M110" s="10">
        <v>772</v>
      </c>
      <c r="N110" s="10">
        <v>682</v>
      </c>
      <c r="O110" s="97">
        <f t="shared" si="22"/>
        <v>772</v>
      </c>
      <c r="P110" s="97">
        <f t="shared" si="27"/>
        <v>394</v>
      </c>
      <c r="Q110" s="97">
        <f t="shared" si="23"/>
        <v>394</v>
      </c>
      <c r="R110" s="97">
        <f t="shared" si="24"/>
        <v>394</v>
      </c>
      <c r="S110" s="97">
        <f t="shared" si="25"/>
        <v>394</v>
      </c>
      <c r="T110" s="97">
        <f t="shared" si="26"/>
        <v>394</v>
      </c>
    </row>
    <row r="111" spans="1:20" ht="15.75" hidden="1">
      <c r="A111">
        <v>2</v>
      </c>
      <c r="E111" s="89">
        <v>0.7</v>
      </c>
      <c r="F111" s="261" t="e">
        <f t="shared" si="21"/>
        <v>#NAME?</v>
      </c>
      <c r="G111" s="10">
        <v>675</v>
      </c>
      <c r="H111" s="10">
        <v>432</v>
      </c>
      <c r="I111" s="10">
        <v>553</v>
      </c>
      <c r="J111" s="10">
        <v>349</v>
      </c>
      <c r="K111" s="10">
        <v>288</v>
      </c>
      <c r="L111" s="10">
        <v>243</v>
      </c>
      <c r="M111" s="10">
        <v>795</v>
      </c>
      <c r="N111" s="10">
        <v>705</v>
      </c>
      <c r="O111" s="97">
        <f t="shared" si="22"/>
        <v>795</v>
      </c>
      <c r="P111" s="97">
        <f t="shared" si="27"/>
        <v>432</v>
      </c>
      <c r="Q111" s="97">
        <f t="shared" si="23"/>
        <v>553</v>
      </c>
      <c r="R111" s="97">
        <f t="shared" si="24"/>
        <v>553</v>
      </c>
      <c r="S111" s="97">
        <f t="shared" si="25"/>
        <v>553</v>
      </c>
      <c r="T111" s="97">
        <f t="shared" si="26"/>
        <v>553</v>
      </c>
    </row>
    <row r="112" spans="1:20" ht="15.75" hidden="1">
      <c r="A112">
        <v>2</v>
      </c>
      <c r="E112" s="89">
        <v>0.8</v>
      </c>
      <c r="F112" s="261" t="e">
        <f t="shared" si="21"/>
        <v>#NAME?</v>
      </c>
      <c r="G112" s="10">
        <v>810</v>
      </c>
      <c r="H112" s="10">
        <v>522</v>
      </c>
      <c r="I112" s="10">
        <v>599</v>
      </c>
      <c r="J112" s="10">
        <v>515</v>
      </c>
      <c r="K112" s="10">
        <v>425</v>
      </c>
      <c r="L112" s="10">
        <v>273</v>
      </c>
      <c r="M112" s="10">
        <v>841</v>
      </c>
      <c r="N112" s="10">
        <v>720</v>
      </c>
      <c r="O112" s="97">
        <f t="shared" si="22"/>
        <v>841</v>
      </c>
      <c r="P112" s="97">
        <f t="shared" si="27"/>
        <v>522</v>
      </c>
      <c r="Q112" s="97">
        <f t="shared" si="23"/>
        <v>599</v>
      </c>
      <c r="R112" s="97">
        <f t="shared" si="24"/>
        <v>599</v>
      </c>
      <c r="S112" s="97">
        <f t="shared" si="25"/>
        <v>599</v>
      </c>
      <c r="T112" s="97">
        <f t="shared" si="26"/>
        <v>599</v>
      </c>
    </row>
    <row r="113" spans="1:20" ht="15.75" hidden="1">
      <c r="A113">
        <v>2</v>
      </c>
      <c r="E113" s="89">
        <v>1</v>
      </c>
      <c r="F113" s="261" t="e">
        <f t="shared" si="21"/>
        <v>#NAME?</v>
      </c>
      <c r="G113" s="10">
        <v>1008</v>
      </c>
      <c r="H113" s="10">
        <v>659</v>
      </c>
      <c r="I113" s="10">
        <v>621</v>
      </c>
      <c r="J113" s="10">
        <v>500</v>
      </c>
      <c r="K113" s="10">
        <v>470</v>
      </c>
      <c r="L113" s="10">
        <v>273</v>
      </c>
      <c r="M113" s="10">
        <v>894</v>
      </c>
      <c r="N113" s="10">
        <v>743</v>
      </c>
      <c r="O113" s="97">
        <f t="shared" si="22"/>
        <v>894</v>
      </c>
      <c r="P113" s="97">
        <f t="shared" si="27"/>
        <v>659</v>
      </c>
      <c r="Q113" s="97">
        <f t="shared" si="23"/>
        <v>621</v>
      </c>
      <c r="R113" s="97">
        <f t="shared" si="24"/>
        <v>621</v>
      </c>
      <c r="S113" s="97">
        <f t="shared" si="25"/>
        <v>621</v>
      </c>
      <c r="T113" s="97">
        <f t="shared" si="26"/>
        <v>621</v>
      </c>
    </row>
    <row r="114" spans="1:20" ht="15.75" hidden="1">
      <c r="A114">
        <v>2</v>
      </c>
      <c r="E114" s="89">
        <v>1.1</v>
      </c>
      <c r="F114" s="261" t="e">
        <f t="shared" si="21"/>
        <v>#NAME?</v>
      </c>
      <c r="G114" s="284">
        <v>1129</v>
      </c>
      <c r="H114" s="285">
        <v>750</v>
      </c>
      <c r="I114" s="10">
        <v>651</v>
      </c>
      <c r="J114" s="10">
        <v>500</v>
      </c>
      <c r="K114" s="10">
        <v>484</v>
      </c>
      <c r="L114" s="10">
        <v>288</v>
      </c>
      <c r="M114" s="10">
        <v>932</v>
      </c>
      <c r="N114" s="10">
        <v>765</v>
      </c>
      <c r="O114" s="97">
        <f t="shared" si="22"/>
        <v>932</v>
      </c>
      <c r="P114" s="97">
        <f t="shared" si="27"/>
        <v>750</v>
      </c>
      <c r="Q114" s="97">
        <f t="shared" si="23"/>
        <v>651</v>
      </c>
      <c r="R114" s="97">
        <f t="shared" si="24"/>
        <v>651</v>
      </c>
      <c r="S114" s="97">
        <f t="shared" si="25"/>
        <v>651</v>
      </c>
      <c r="T114" s="97">
        <f t="shared" si="26"/>
        <v>651</v>
      </c>
    </row>
    <row r="115" spans="1:20" ht="16.5" hidden="1" thickBot="1">
      <c r="A115">
        <v>2</v>
      </c>
      <c r="E115" s="90">
        <v>1.2</v>
      </c>
      <c r="F115" s="261" t="e">
        <f t="shared" si="21"/>
        <v>#NAME?</v>
      </c>
      <c r="G115" s="10">
        <v>1166</v>
      </c>
      <c r="H115" s="10">
        <v>772</v>
      </c>
      <c r="I115" s="10">
        <v>727</v>
      </c>
      <c r="J115" s="10">
        <v>508</v>
      </c>
      <c r="K115" s="10">
        <v>500</v>
      </c>
      <c r="L115" s="10">
        <v>288</v>
      </c>
      <c r="M115" s="10">
        <v>939</v>
      </c>
      <c r="N115" s="10">
        <v>772</v>
      </c>
      <c r="O115" s="97">
        <f t="shared" si="22"/>
        <v>939</v>
      </c>
      <c r="P115" s="97">
        <f t="shared" si="27"/>
        <v>772</v>
      </c>
      <c r="Q115" s="97">
        <f t="shared" si="23"/>
        <v>727</v>
      </c>
      <c r="R115" s="97">
        <f t="shared" si="24"/>
        <v>727</v>
      </c>
      <c r="S115" s="97">
        <f t="shared" si="25"/>
        <v>727</v>
      </c>
      <c r="T115" s="97">
        <f t="shared" si="26"/>
        <v>727</v>
      </c>
    </row>
    <row r="116" spans="1:20" s="161" customFormat="1" ht="15.75" hidden="1">
      <c r="A116">
        <v>2</v>
      </c>
      <c r="E116" s="162"/>
      <c r="F116" s="104"/>
      <c r="G116" s="104"/>
      <c r="H116" s="163"/>
      <c r="I116" s="164"/>
      <c r="J116" s="164"/>
      <c r="K116" s="104"/>
      <c r="L116" s="11"/>
      <c r="M116" s="95"/>
      <c r="N116" s="95"/>
      <c r="O116" s="95"/>
      <c r="P116" s="95"/>
      <c r="Q116" s="95"/>
      <c r="R116" s="95"/>
      <c r="S116" s="95"/>
      <c r="T116" s="95"/>
    </row>
    <row r="117" spans="1:20" s="161" customFormat="1" ht="15.75" hidden="1">
      <c r="A117">
        <v>2</v>
      </c>
      <c r="E117" s="162"/>
      <c r="F117" s="104" t="s">
        <v>378</v>
      </c>
      <c r="G117" s="104" t="e">
        <f>LOOKUP(F134,porantvar2,cod06cargosvar2mar11)</f>
        <v>#NAME?</v>
      </c>
      <c r="H117" s="163"/>
      <c r="I117" s="164"/>
      <c r="J117" s="164"/>
      <c r="K117" s="104"/>
      <c r="L117" s="11"/>
      <c r="M117" s="95"/>
      <c r="N117" s="95"/>
      <c r="O117" s="95"/>
      <c r="P117" s="95"/>
      <c r="Q117" s="95"/>
      <c r="R117" s="95"/>
      <c r="S117" s="95"/>
      <c r="T117" s="95"/>
    </row>
    <row r="118" spans="1:20" s="161" customFormat="1" ht="15.75" hidden="1">
      <c r="A118"/>
      <c r="E118" s="162"/>
      <c r="F118" s="104"/>
      <c r="G118" s="104"/>
      <c r="H118" s="163"/>
      <c r="I118" s="164"/>
      <c r="J118" s="164"/>
      <c r="K118" s="104"/>
      <c r="L118" s="11"/>
      <c r="M118" s="95"/>
      <c r="N118" s="95"/>
      <c r="O118" s="95"/>
      <c r="P118" s="95"/>
      <c r="Q118" s="95"/>
      <c r="R118" s="95"/>
      <c r="S118" s="95"/>
      <c r="T118" s="95"/>
    </row>
    <row r="119" spans="1:20" s="161" customFormat="1" ht="15.75" hidden="1">
      <c r="A119"/>
      <c r="E119" s="162"/>
      <c r="F119" s="104"/>
      <c r="G119" s="104"/>
      <c r="H119" s="163"/>
      <c r="I119" s="164"/>
      <c r="J119" s="164"/>
      <c r="K119" s="104"/>
      <c r="L119" s="11"/>
      <c r="M119" s="95"/>
      <c r="N119" s="95"/>
      <c r="O119" s="95"/>
      <c r="P119" s="95"/>
      <c r="Q119" s="95"/>
      <c r="R119" s="95"/>
      <c r="S119" s="95"/>
      <c r="T119" s="95"/>
    </row>
    <row r="120" spans="1:20" s="161" customFormat="1" ht="15.75" hidden="1">
      <c r="A120"/>
      <c r="E120" s="162"/>
      <c r="F120" s="104"/>
      <c r="G120" s="104"/>
      <c r="H120" s="163"/>
      <c r="I120" s="164"/>
      <c r="J120" s="164"/>
      <c r="K120" s="104"/>
      <c r="L120" s="11"/>
      <c r="M120" s="95"/>
      <c r="N120" s="95"/>
      <c r="O120" s="95"/>
      <c r="P120" s="95"/>
      <c r="Q120" s="95"/>
      <c r="R120" s="95"/>
      <c r="S120" s="95"/>
      <c r="T120" s="95"/>
    </row>
    <row r="121" spans="1:16" s="166" customFormat="1" ht="15.75" hidden="1">
      <c r="A121">
        <v>2</v>
      </c>
      <c r="C121" s="162"/>
      <c r="F121" s="104"/>
      <c r="G121" s="95"/>
      <c r="H121" s="48"/>
      <c r="I121" s="48"/>
      <c r="J121" s="104"/>
      <c r="K121" s="11"/>
      <c r="L121" s="95"/>
      <c r="M121" s="95"/>
      <c r="N121" s="95"/>
      <c r="O121" s="95"/>
      <c r="P121" s="95"/>
    </row>
    <row r="122" spans="1:15" ht="12.75">
      <c r="A122" s="178">
        <v>2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</row>
    <row r="123" spans="1:17" ht="20.25">
      <c r="A123" s="178">
        <v>2</v>
      </c>
      <c r="B123" s="119"/>
      <c r="C123" s="124"/>
      <c r="D123" s="124"/>
      <c r="E123" s="53" t="s">
        <v>338</v>
      </c>
      <c r="F123" s="10"/>
      <c r="G123" s="10"/>
      <c r="H123" s="124"/>
      <c r="I123" s="124"/>
      <c r="J123" s="124"/>
      <c r="K123" s="124"/>
      <c r="L123" s="124"/>
      <c r="M123" s="124"/>
      <c r="N123" s="118"/>
      <c r="O123" s="188"/>
      <c r="P123" s="104"/>
      <c r="Q123" s="104"/>
    </row>
    <row r="124" spans="1:17" ht="12.75">
      <c r="A124" s="178">
        <v>2</v>
      </c>
      <c r="B124" s="119"/>
      <c r="C124" s="119"/>
      <c r="D124" s="119"/>
      <c r="E124" s="119"/>
      <c r="F124" s="119"/>
      <c r="G124" s="119"/>
      <c r="H124" s="180"/>
      <c r="I124" s="119"/>
      <c r="J124" s="119"/>
      <c r="K124" s="119"/>
      <c r="L124" s="119"/>
      <c r="M124" s="119"/>
      <c r="N124" s="118"/>
      <c r="O124" s="188"/>
      <c r="P124" s="104"/>
      <c r="Q124" s="104"/>
    </row>
    <row r="125" spans="1:17" ht="12.75">
      <c r="A125" s="178">
        <v>2</v>
      </c>
      <c r="B125" s="178"/>
      <c r="C125" s="178"/>
      <c r="D125" s="36" t="s">
        <v>30</v>
      </c>
      <c r="E125" s="36" t="s">
        <v>309</v>
      </c>
      <c r="F125" s="36" t="s">
        <v>310</v>
      </c>
      <c r="G125" s="36" t="s">
        <v>311</v>
      </c>
      <c r="H125" s="36" t="s">
        <v>312</v>
      </c>
      <c r="I125" s="73" t="s">
        <v>356</v>
      </c>
      <c r="J125" s="314" t="s">
        <v>383</v>
      </c>
      <c r="K125" s="119"/>
      <c r="L125" s="119"/>
      <c r="M125" s="119"/>
      <c r="N125" s="118"/>
      <c r="O125" s="188"/>
      <c r="P125" s="104"/>
      <c r="Q125" s="104"/>
    </row>
    <row r="126" spans="1:17" ht="16.5" thickBot="1">
      <c r="A126" s="178">
        <v>2</v>
      </c>
      <c r="B126" s="178"/>
      <c r="C126" s="178"/>
      <c r="D126" s="82">
        <v>750</v>
      </c>
      <c r="E126" s="54">
        <f>LOOKUP(D126,[0]!numerocargo,[0]!puntosbasicoscargo)</f>
        <v>971</v>
      </c>
      <c r="F126" s="54" t="e">
        <f>LOOKUP(D126,[0]!numerocargo,[0]!tardifcargo)</f>
        <v>#NAME?</v>
      </c>
      <c r="G126" s="54">
        <f>LOOKUP(D126,[0]!numerocargo,[0]!proljorcargo)</f>
        <v>1298</v>
      </c>
      <c r="H126" s="54" t="e">
        <f>LOOKUP(D126,[0]!numerocargo,[0]!jorcomcargo)</f>
        <v>#NAME?</v>
      </c>
      <c r="I126" s="36">
        <f>LOOKUP(D126,Cargos!A1:A338,puntoscompbasico)</f>
        <v>0</v>
      </c>
      <c r="J126" s="313" t="e">
        <f>LOOKUP(D126,Cargos!A1:A338,puntosadicdir)</f>
        <v>#REF!</v>
      </c>
      <c r="K126" s="119"/>
      <c r="L126" s="119"/>
      <c r="M126" s="119"/>
      <c r="N126" s="118"/>
      <c r="O126" s="188"/>
      <c r="P126" s="104"/>
      <c r="Q126" s="104"/>
    </row>
    <row r="127" spans="1:17" ht="13.5" thickBot="1">
      <c r="A127" s="178">
        <v>2</v>
      </c>
      <c r="B127" s="178"/>
      <c r="C127" s="178"/>
      <c r="D127" s="55" t="s">
        <v>31</v>
      </c>
      <c r="E127" s="56" t="str">
        <f>LOOKUP(D126,[0]!numerocargo,[0]!nombrecargo)</f>
        <v> BIBLIOTECARIO</v>
      </c>
      <c r="F127" s="35"/>
      <c r="G127" s="35"/>
      <c r="H127" s="44"/>
      <c r="I127" s="119"/>
      <c r="J127" s="119"/>
      <c r="K127" s="119"/>
      <c r="L127" s="119"/>
      <c r="M127" s="119"/>
      <c r="N127" s="118"/>
      <c r="O127" s="188"/>
      <c r="P127" s="104"/>
      <c r="Q127" s="104"/>
    </row>
    <row r="128" spans="1:17" ht="13.5" thickBot="1">
      <c r="A128" s="178">
        <v>2</v>
      </c>
      <c r="B128" s="178"/>
      <c r="C128" s="178"/>
      <c r="D128" s="179"/>
      <c r="E128" s="180"/>
      <c r="F128" s="119"/>
      <c r="G128" s="119"/>
      <c r="H128" s="119"/>
      <c r="I128" s="91" t="s">
        <v>330</v>
      </c>
      <c r="J128" s="186"/>
      <c r="K128" s="186"/>
      <c r="L128" s="186"/>
      <c r="M128" s="119"/>
      <c r="N128" s="119"/>
      <c r="O128" s="119"/>
      <c r="P128" s="10"/>
      <c r="Q128" s="10"/>
    </row>
    <row r="129" spans="1:17" ht="19.5" thickBot="1" thickTop="1">
      <c r="A129" s="178">
        <v>2</v>
      </c>
      <c r="B129" s="178"/>
      <c r="C129" s="178"/>
      <c r="D129" s="105" t="s">
        <v>324</v>
      </c>
      <c r="E129" s="86"/>
      <c r="F129" s="86"/>
      <c r="G129" s="86"/>
      <c r="H129" s="106">
        <v>42</v>
      </c>
      <c r="I129" s="92">
        <f>H129/120</f>
        <v>0.35</v>
      </c>
      <c r="J129" s="180"/>
      <c r="K129" s="180"/>
      <c r="L129" s="180"/>
      <c r="M129" s="119"/>
      <c r="N129" s="119"/>
      <c r="O129" s="119"/>
      <c r="P129" s="10"/>
      <c r="Q129" s="10"/>
    </row>
    <row r="130" spans="1:17" ht="17.25" thickBot="1" thickTop="1">
      <c r="A130" s="178">
        <v>2</v>
      </c>
      <c r="B130" s="179"/>
      <c r="C130" s="180"/>
      <c r="D130" s="119"/>
      <c r="E130" s="119"/>
      <c r="F130" s="243"/>
      <c r="G130" s="119"/>
      <c r="H130" s="321"/>
      <c r="I130" s="119"/>
      <c r="J130" s="119"/>
      <c r="K130" s="119"/>
      <c r="L130" s="119"/>
      <c r="M130" s="119"/>
      <c r="N130" s="119"/>
      <c r="O130" s="119"/>
      <c r="P130" s="10"/>
      <c r="Q130" s="10"/>
    </row>
    <row r="131" spans="1:17" ht="17.25" thickBot="1" thickTop="1">
      <c r="A131" s="178">
        <v>2</v>
      </c>
      <c r="B131" s="179"/>
      <c r="C131" s="178"/>
      <c r="D131" s="85" t="s">
        <v>332</v>
      </c>
      <c r="E131" s="93">
        <v>0</v>
      </c>
      <c r="F131" s="243"/>
      <c r="G131" s="119"/>
      <c r="H131" s="180"/>
      <c r="I131" s="119"/>
      <c r="J131" s="119"/>
      <c r="K131" s="119"/>
      <c r="L131" s="119"/>
      <c r="M131" s="119"/>
      <c r="N131" s="119"/>
      <c r="O131" s="119"/>
      <c r="P131" s="10"/>
      <c r="Q131" s="10"/>
    </row>
    <row r="132" spans="1:17" ht="14.25" thickBot="1" thickTop="1">
      <c r="A132" s="178">
        <v>2</v>
      </c>
      <c r="B132" s="179"/>
      <c r="C132" s="180"/>
      <c r="D132" s="119"/>
      <c r="E132" s="119"/>
      <c r="F132" s="119"/>
      <c r="G132" s="119"/>
      <c r="H132" s="180"/>
      <c r="I132" s="119"/>
      <c r="J132" s="119"/>
      <c r="K132" s="119"/>
      <c r="L132" s="119"/>
      <c r="M132" s="119"/>
      <c r="N132" s="119"/>
      <c r="O132" s="119"/>
      <c r="P132" s="10"/>
      <c r="Q132" s="10"/>
    </row>
    <row r="133" spans="1:17" ht="16.5" thickBot="1">
      <c r="A133" s="178">
        <v>2</v>
      </c>
      <c r="B133" s="119"/>
      <c r="C133" s="124"/>
      <c r="D133" s="57" t="s">
        <v>8</v>
      </c>
      <c r="E133" s="35"/>
      <c r="F133" s="58" t="e">
        <f>E126*indicesep2010</f>
        <v>#NAME?</v>
      </c>
      <c r="G133" s="124"/>
      <c r="H133" s="124"/>
      <c r="I133" s="124"/>
      <c r="J133" s="124"/>
      <c r="K133" s="124"/>
      <c r="L133" s="124"/>
      <c r="M133" s="123"/>
      <c r="N133" s="123"/>
      <c r="O133" s="124"/>
      <c r="P133" s="10"/>
      <c r="Q133" s="10"/>
    </row>
    <row r="134" spans="1:17" ht="16.5" thickBot="1">
      <c r="A134" s="178">
        <v>2</v>
      </c>
      <c r="B134" s="119"/>
      <c r="C134" s="124"/>
      <c r="D134" s="120" t="s">
        <v>9</v>
      </c>
      <c r="E134" s="121"/>
      <c r="F134" s="122">
        <v>1.2</v>
      </c>
      <c r="G134" s="47" t="s">
        <v>10</v>
      </c>
      <c r="H134" s="47"/>
      <c r="I134" s="124"/>
      <c r="J134" s="124"/>
      <c r="K134" s="124"/>
      <c r="L134" s="124"/>
      <c r="M134" s="124"/>
      <c r="N134" s="123"/>
      <c r="O134" s="124"/>
      <c r="P134" s="10"/>
      <c r="Q134" s="10"/>
    </row>
    <row r="135" spans="1:17" ht="15.75">
      <c r="A135" s="178">
        <v>2</v>
      </c>
      <c r="B135" s="119"/>
      <c r="C135" s="124"/>
      <c r="D135" s="119"/>
      <c r="E135" s="119"/>
      <c r="F135" s="322"/>
      <c r="G135" s="124"/>
      <c r="H135" s="124"/>
      <c r="I135" s="124"/>
      <c r="J135" s="124"/>
      <c r="K135" s="124"/>
      <c r="L135" s="124"/>
      <c r="M135" s="124"/>
      <c r="N135" s="125"/>
      <c r="O135" s="124"/>
      <c r="P135" s="10"/>
      <c r="Q135" s="10"/>
    </row>
    <row r="136" spans="1:17" ht="18.75" hidden="1" thickBot="1">
      <c r="A136" s="178">
        <v>2</v>
      </c>
      <c r="B136" s="119"/>
      <c r="C136" s="124"/>
      <c r="D136" s="60" t="s">
        <v>11</v>
      </c>
      <c r="E136" s="60"/>
      <c r="F136" s="61">
        <f>E126</f>
        <v>971</v>
      </c>
      <c r="G136" s="10" t="s">
        <v>12</v>
      </c>
      <c r="H136" s="124"/>
      <c r="I136" s="59" t="e">
        <f>H126+G126</f>
        <v>#NAME?</v>
      </c>
      <c r="J136" s="123"/>
      <c r="K136" s="123"/>
      <c r="L136" s="123"/>
      <c r="M136" s="119"/>
      <c r="N136" s="124"/>
      <c r="O136" s="124"/>
      <c r="P136" s="10"/>
      <c r="Q136" s="10"/>
    </row>
    <row r="137" spans="1:17" ht="15.75" hidden="1">
      <c r="A137" s="178">
        <v>2</v>
      </c>
      <c r="B137" s="119"/>
      <c r="C137" s="124"/>
      <c r="D137" s="2"/>
      <c r="E137" s="2"/>
      <c r="F137" s="109"/>
      <c r="G137" s="124"/>
      <c r="H137" s="124"/>
      <c r="I137" s="119"/>
      <c r="J137" s="119"/>
      <c r="K137" s="119"/>
      <c r="L137" s="119"/>
      <c r="M137" s="241"/>
      <c r="N137" s="124"/>
      <c r="O137" s="124"/>
      <c r="P137" s="10"/>
      <c r="Q137" s="10"/>
    </row>
    <row r="138" spans="1:15" ht="15.75" hidden="1">
      <c r="A138" s="178">
        <v>2</v>
      </c>
      <c r="B138" s="119"/>
      <c r="C138" s="124"/>
      <c r="D138" s="10"/>
      <c r="E138" s="98" t="s">
        <v>373</v>
      </c>
      <c r="F138" s="10"/>
      <c r="G138" s="102"/>
      <c r="H138" s="10"/>
      <c r="I138" s="98" t="s">
        <v>374</v>
      </c>
      <c r="J138" s="10"/>
      <c r="K138" s="178"/>
      <c r="L138" s="11"/>
      <c r="M138" s="296"/>
      <c r="N138" s="11"/>
      <c r="O138" s="178"/>
    </row>
    <row r="139" spans="1:15" ht="12.75" hidden="1">
      <c r="A139" s="178">
        <v>2</v>
      </c>
      <c r="B139" s="119"/>
      <c r="C139" s="178"/>
      <c r="D139" s="16">
        <v>400</v>
      </c>
      <c r="E139" s="16" t="s">
        <v>13</v>
      </c>
      <c r="F139" s="62" t="e">
        <f>punbasjubvarios2*indicesep2010*porjubvarcar*frac2</f>
        <v>#NAME?</v>
      </c>
      <c r="G139" s="178"/>
      <c r="H139" s="16">
        <v>400</v>
      </c>
      <c r="I139" s="16" t="s">
        <v>13</v>
      </c>
      <c r="J139" s="62" t="e">
        <f>punbasjubvarios2*indicemar2011*porjubvarcar*frac2</f>
        <v>#NAME?</v>
      </c>
      <c r="K139" s="178"/>
      <c r="L139" s="11"/>
      <c r="M139" s="11"/>
      <c r="N139" s="297"/>
      <c r="O139" s="178"/>
    </row>
    <row r="140" spans="1:15" ht="12.75" hidden="1">
      <c r="A140" s="178">
        <v>2</v>
      </c>
      <c r="B140" s="119"/>
      <c r="C140" s="178"/>
      <c r="D140" s="16">
        <v>542</v>
      </c>
      <c r="E140" s="16" t="s">
        <v>360</v>
      </c>
      <c r="F140" s="160" t="e">
        <f>compbasicovarios2*indicesep2010*porjubvarcar*frac2</f>
        <v>#NAME?</v>
      </c>
      <c r="G140" s="178"/>
      <c r="H140" s="16">
        <v>542</v>
      </c>
      <c r="I140" s="16" t="s">
        <v>360</v>
      </c>
      <c r="J140" s="160" t="e">
        <f>compbasicovarios2*indicemar2011*porjubvarcar*frac2</f>
        <v>#NAME?</v>
      </c>
      <c r="K140" s="178"/>
      <c r="L140" s="11"/>
      <c r="M140" s="11"/>
      <c r="N140" s="297"/>
      <c r="O140" s="178"/>
    </row>
    <row r="141" spans="1:15" ht="12.75" hidden="1">
      <c r="A141" s="178"/>
      <c r="B141" s="119"/>
      <c r="C141" s="178"/>
      <c r="D141" s="286"/>
      <c r="E141" s="286"/>
      <c r="F141" s="315"/>
      <c r="G141" s="178"/>
      <c r="H141" s="287" t="s">
        <v>372</v>
      </c>
      <c r="I141" s="288" t="s">
        <v>371</v>
      </c>
      <c r="J141" s="312" t="e">
        <f>adicdirvarios2*indicemar2011*porjubvarcar*frac2</f>
        <v>#REF!</v>
      </c>
      <c r="K141" s="178"/>
      <c r="L141" s="11"/>
      <c r="M141" s="11"/>
      <c r="N141" s="297"/>
      <c r="O141" s="178"/>
    </row>
    <row r="142" spans="1:14" ht="12.75" hidden="1">
      <c r="A142" s="178">
        <v>2</v>
      </c>
      <c r="B142" s="119"/>
      <c r="C142" s="178"/>
      <c r="D142" s="16">
        <v>404</v>
      </c>
      <c r="E142" s="16" t="s">
        <v>314</v>
      </c>
      <c r="F142" s="62" t="e">
        <f>puntardifvar2*indicesep2010*porjubvarcar*frac2</f>
        <v>#NAME?</v>
      </c>
      <c r="G142" s="178"/>
      <c r="H142" s="16">
        <v>404</v>
      </c>
      <c r="I142" s="16" t="s">
        <v>314</v>
      </c>
      <c r="J142" s="62" t="e">
        <f>puntardifvar2*indicemar2011*porjubvarcar*frac2</f>
        <v>#NAME?</v>
      </c>
      <c r="L142" s="11"/>
      <c r="M142" s="11"/>
      <c r="N142" s="297"/>
    </row>
    <row r="143" spans="1:14" ht="12.75" hidden="1">
      <c r="A143" s="178">
        <v>2</v>
      </c>
      <c r="B143" s="119"/>
      <c r="C143" s="178"/>
      <c r="D143" s="16">
        <v>406</v>
      </c>
      <c r="E143" s="16" t="s">
        <v>14</v>
      </c>
      <c r="F143" s="62" t="e">
        <f>(F139+F140+F142+F145)*F134</f>
        <v>#NAME?</v>
      </c>
      <c r="G143" s="178"/>
      <c r="H143" s="16">
        <v>406</v>
      </c>
      <c r="I143" s="16" t="s">
        <v>14</v>
      </c>
      <c r="J143" s="62" t="e">
        <f>(J139+J140+J142+J145)*F134</f>
        <v>#NAME?</v>
      </c>
      <c r="L143" s="11"/>
      <c r="M143" s="11"/>
      <c r="N143" s="297"/>
    </row>
    <row r="144" spans="1:14" ht="12.75" hidden="1">
      <c r="A144" s="178">
        <v>2</v>
      </c>
      <c r="B144" s="119"/>
      <c r="C144" s="178"/>
      <c r="D144" s="16">
        <v>408</v>
      </c>
      <c r="E144" s="16" t="s">
        <v>331</v>
      </c>
      <c r="F144" s="62" t="e">
        <f>(F139+F140+F142+F145)*E131</f>
        <v>#NAME?</v>
      </c>
      <c r="G144" s="178"/>
      <c r="H144" s="16">
        <v>408</v>
      </c>
      <c r="I144" s="16" t="s">
        <v>331</v>
      </c>
      <c r="J144" s="62" t="e">
        <f>(J139+J140+J142+J145)*E131</f>
        <v>#NAME?</v>
      </c>
      <c r="L144" s="11"/>
      <c r="M144" s="11"/>
      <c r="N144" s="297"/>
    </row>
    <row r="145" spans="1:14" ht="12.75" hidden="1">
      <c r="A145" s="178">
        <v>2</v>
      </c>
      <c r="B145" s="119"/>
      <c r="C145" s="178"/>
      <c r="D145" s="16">
        <v>416</v>
      </c>
      <c r="E145" s="63" t="s">
        <v>315</v>
      </c>
      <c r="F145" s="62" t="e">
        <f>puntosproljorvarios2*proljorsep2010*porjubvarcar*frac2</f>
        <v>#NAME?</v>
      </c>
      <c r="G145" s="178"/>
      <c r="H145" s="16">
        <v>416</v>
      </c>
      <c r="I145" s="63" t="s">
        <v>315</v>
      </c>
      <c r="J145" s="62" t="e">
        <f>puntosproljorvarios2*proljormar2011*porjubvarcar*frac2</f>
        <v>#NAME?</v>
      </c>
      <c r="L145" s="11"/>
      <c r="M145" s="311"/>
      <c r="N145" s="297"/>
    </row>
    <row r="146" spans="1:14" ht="12.75" hidden="1">
      <c r="A146" s="178">
        <v>2</v>
      </c>
      <c r="B146" s="119"/>
      <c r="C146" s="178"/>
      <c r="D146" s="16">
        <v>432</v>
      </c>
      <c r="E146" s="16" t="s">
        <v>329</v>
      </c>
      <c r="F146" s="62" t="e">
        <f>cod06feb11varios2*porjubvarcar*frac2</f>
        <v>#NAME?</v>
      </c>
      <c r="G146" s="178"/>
      <c r="H146" s="16">
        <v>432</v>
      </c>
      <c r="I146" s="16" t="s">
        <v>329</v>
      </c>
      <c r="J146" s="62" t="e">
        <f>cod06mar11varios2*porjubvarcar*frac2</f>
        <v>#NAME?</v>
      </c>
      <c r="L146" s="11"/>
      <c r="M146" s="11"/>
      <c r="N146" s="297"/>
    </row>
    <row r="147" spans="1:14" ht="12.75" hidden="1">
      <c r="A147" s="178">
        <v>2</v>
      </c>
      <c r="B147" s="119"/>
      <c r="C147" s="178"/>
      <c r="D147" s="16">
        <v>434</v>
      </c>
      <c r="E147" s="16" t="s">
        <v>313</v>
      </c>
      <c r="F147" s="62" t="e">
        <f>(F139+F140+F142+F143+F145+F146+F144)*0.07*0.95</f>
        <v>#NAME?</v>
      </c>
      <c r="G147" s="178"/>
      <c r="H147" s="16">
        <v>434</v>
      </c>
      <c r="I147" s="16" t="s">
        <v>313</v>
      </c>
      <c r="J147" s="62" t="e">
        <f>(J139+J140+J142+J143+J145+J146+J144)*0.07*0.95</f>
        <v>#NAME?</v>
      </c>
      <c r="L147" s="11"/>
      <c r="M147" s="11"/>
      <c r="N147" s="297"/>
    </row>
    <row r="148" spans="1:14" ht="12.75" hidden="1">
      <c r="A148" s="178">
        <v>2</v>
      </c>
      <c r="B148" s="119"/>
      <c r="C148" s="178"/>
      <c r="D148" s="16"/>
      <c r="E148" s="64"/>
      <c r="F148" s="110"/>
      <c r="G148" s="178"/>
      <c r="H148" s="16"/>
      <c r="I148" s="64"/>
      <c r="J148" s="110"/>
      <c r="L148" s="11"/>
      <c r="M148" s="11"/>
      <c r="N148" s="297"/>
    </row>
    <row r="149" spans="1:14" ht="13.5" hidden="1" thickBot="1">
      <c r="A149" s="178">
        <v>2</v>
      </c>
      <c r="B149" s="119"/>
      <c r="C149" s="178"/>
      <c r="D149" s="16"/>
      <c r="E149" s="64" t="s">
        <v>327</v>
      </c>
      <c r="F149" s="83">
        <v>0</v>
      </c>
      <c r="G149" s="178"/>
      <c r="H149" s="16"/>
      <c r="I149" s="64" t="s">
        <v>327</v>
      </c>
      <c r="J149" s="83">
        <v>0</v>
      </c>
      <c r="L149" s="11"/>
      <c r="M149" s="11"/>
      <c r="N149" s="307"/>
    </row>
    <row r="150" spans="1:14" ht="16.5" hidden="1" thickBot="1">
      <c r="A150" s="178">
        <v>2</v>
      </c>
      <c r="B150" s="119"/>
      <c r="C150" s="178"/>
      <c r="D150" s="65"/>
      <c r="E150" s="66" t="s">
        <v>15</v>
      </c>
      <c r="F150" s="67" t="e">
        <f>SUM(F139:F149)</f>
        <v>#NAME?</v>
      </c>
      <c r="G150" s="178"/>
      <c r="H150" s="65"/>
      <c r="I150" s="66" t="s">
        <v>15</v>
      </c>
      <c r="J150" s="67" t="e">
        <f>SUM(J139:J149)</f>
        <v>#NAME?</v>
      </c>
      <c r="L150" s="11"/>
      <c r="M150" s="48"/>
      <c r="N150" s="305"/>
    </row>
    <row r="151" spans="1:14" ht="12.75" hidden="1">
      <c r="A151" s="178">
        <v>2</v>
      </c>
      <c r="B151" s="119"/>
      <c r="C151" s="178"/>
      <c r="D151" s="16">
        <v>703</v>
      </c>
      <c r="E151" s="68" t="s">
        <v>316</v>
      </c>
      <c r="F151" s="69" t="e">
        <f>(F150-F149)*0.0025</f>
        <v>#NAME?</v>
      </c>
      <c r="G151" s="178"/>
      <c r="H151" s="16">
        <v>703</v>
      </c>
      <c r="I151" s="68" t="s">
        <v>316</v>
      </c>
      <c r="J151" s="69" t="e">
        <f>(J150-J149)*0.0025</f>
        <v>#NAME?</v>
      </c>
      <c r="L151" s="11"/>
      <c r="M151" s="300"/>
      <c r="N151" s="301"/>
    </row>
    <row r="152" spans="1:14" ht="12.75" hidden="1">
      <c r="A152" s="178">
        <v>2</v>
      </c>
      <c r="B152" s="119"/>
      <c r="C152" s="178"/>
      <c r="D152" s="17">
        <v>707</v>
      </c>
      <c r="E152" s="70" t="s">
        <v>17</v>
      </c>
      <c r="F152" s="15" t="e">
        <f>(F150-F149)*0.03</f>
        <v>#NAME?</v>
      </c>
      <c r="G152" s="178"/>
      <c r="H152" s="17">
        <v>707</v>
      </c>
      <c r="I152" s="70" t="s">
        <v>17</v>
      </c>
      <c r="J152" s="15" t="e">
        <f>(J150-J149)*0.03</f>
        <v>#NAME?</v>
      </c>
      <c r="L152" s="11"/>
      <c r="M152" s="294"/>
      <c r="N152" s="301"/>
    </row>
    <row r="153" spans="1:14" ht="12.75" hidden="1">
      <c r="A153" s="178">
        <v>2</v>
      </c>
      <c r="B153" s="119"/>
      <c r="C153" s="178"/>
      <c r="D153" s="17">
        <v>709</v>
      </c>
      <c r="E153" s="70" t="s">
        <v>18</v>
      </c>
      <c r="F153" s="15" t="e">
        <f>(F150-F149)*0.0213</f>
        <v>#NAME?</v>
      </c>
      <c r="G153" s="178"/>
      <c r="H153" s="17">
        <v>709</v>
      </c>
      <c r="I153" s="70" t="s">
        <v>18</v>
      </c>
      <c r="J153" s="15" t="e">
        <f>(J150-J149)*0.0213</f>
        <v>#NAME?</v>
      </c>
      <c r="L153" s="11"/>
      <c r="M153" s="294"/>
      <c r="N153" s="301"/>
    </row>
    <row r="154" spans="1:14" ht="12.75" hidden="1">
      <c r="A154" s="178">
        <v>2</v>
      </c>
      <c r="B154" s="119"/>
      <c r="C154" s="178"/>
      <c r="D154" s="14">
        <v>710</v>
      </c>
      <c r="E154" s="70" t="s">
        <v>19</v>
      </c>
      <c r="F154" s="15" t="e">
        <f>(F150-F149)*0.00754</f>
        <v>#NAME?</v>
      </c>
      <c r="G154" s="178"/>
      <c r="H154" s="14">
        <v>710</v>
      </c>
      <c r="I154" s="70" t="s">
        <v>19</v>
      </c>
      <c r="J154" s="15" t="e">
        <f>(J150-J149)*0.00754</f>
        <v>#NAME?</v>
      </c>
      <c r="L154" s="294"/>
      <c r="M154" s="294"/>
      <c r="N154" s="301"/>
    </row>
    <row r="155" spans="1:14" ht="12.75" hidden="1">
      <c r="A155" s="178">
        <v>2</v>
      </c>
      <c r="B155" s="119"/>
      <c r="C155" s="178"/>
      <c r="D155" s="14">
        <v>713</v>
      </c>
      <c r="E155" s="70" t="s">
        <v>20</v>
      </c>
      <c r="F155" s="15" t="e">
        <f>(F150-F149)*0.007</f>
        <v>#NAME?</v>
      </c>
      <c r="G155" s="178"/>
      <c r="H155" s="14">
        <v>713</v>
      </c>
      <c r="I155" s="70" t="s">
        <v>20</v>
      </c>
      <c r="J155" s="15" t="e">
        <f>(J150-J149)*0.007</f>
        <v>#NAME?</v>
      </c>
      <c r="L155" s="294"/>
      <c r="M155" s="294"/>
      <c r="N155" s="301"/>
    </row>
    <row r="156" spans="1:14" ht="13.5" hidden="1" thickBot="1">
      <c r="A156" s="178">
        <v>2</v>
      </c>
      <c r="B156" s="119"/>
      <c r="C156" s="178"/>
      <c r="D156" s="14"/>
      <c r="E156" s="71" t="s">
        <v>21</v>
      </c>
      <c r="F156" s="39">
        <v>0</v>
      </c>
      <c r="G156" s="178"/>
      <c r="H156" s="14"/>
      <c r="I156" s="71" t="s">
        <v>21</v>
      </c>
      <c r="J156" s="39">
        <v>0</v>
      </c>
      <c r="L156" s="294"/>
      <c r="M156" s="294"/>
      <c r="N156" s="308"/>
    </row>
    <row r="157" spans="1:14" ht="16.5" hidden="1" thickBot="1">
      <c r="A157" s="178">
        <v>2</v>
      </c>
      <c r="B157" s="119"/>
      <c r="C157" s="178"/>
      <c r="D157" s="72"/>
      <c r="E157" s="66" t="s">
        <v>22</v>
      </c>
      <c r="F157" s="67" t="e">
        <f>SUM(F151:F156)</f>
        <v>#NAME?</v>
      </c>
      <c r="G157" s="178"/>
      <c r="H157" s="72"/>
      <c r="I157" s="66" t="s">
        <v>22</v>
      </c>
      <c r="J157" s="67" t="e">
        <f>SUM(J151:J156)</f>
        <v>#NAME?</v>
      </c>
      <c r="L157" s="11"/>
      <c r="M157" s="48"/>
      <c r="N157" s="305"/>
    </row>
    <row r="158" spans="1:14" ht="13.5" hidden="1" thickBot="1">
      <c r="A158" s="178">
        <v>2</v>
      </c>
      <c r="B158" s="119"/>
      <c r="C158" s="178"/>
      <c r="D158" s="73"/>
      <c r="E158" s="74"/>
      <c r="F158" s="75"/>
      <c r="G158" s="178"/>
      <c r="H158" s="73"/>
      <c r="I158" s="74"/>
      <c r="J158" s="75"/>
      <c r="L158" s="48"/>
      <c r="M158" s="11"/>
      <c r="N158" s="309"/>
    </row>
    <row r="159" spans="1:14" ht="16.5" hidden="1" thickBot="1">
      <c r="A159" s="178">
        <v>2</v>
      </c>
      <c r="B159" s="124"/>
      <c r="C159" s="178"/>
      <c r="D159" s="76"/>
      <c r="E159" s="77" t="s">
        <v>23</v>
      </c>
      <c r="F159" s="78" t="e">
        <f>F150-F157</f>
        <v>#NAME?</v>
      </c>
      <c r="G159" s="178"/>
      <c r="H159" s="76"/>
      <c r="I159" s="77" t="s">
        <v>23</v>
      </c>
      <c r="J159" s="78" t="e">
        <f>J150-J157</f>
        <v>#NAME?</v>
      </c>
      <c r="L159" s="170"/>
      <c r="M159" s="304"/>
      <c r="N159" s="310"/>
    </row>
    <row r="160" spans="1:14" s="168" customFormat="1" ht="15.75" hidden="1">
      <c r="A160" s="178">
        <v>2</v>
      </c>
      <c r="B160" s="119"/>
      <c r="C160" s="119"/>
      <c r="D160" s="2"/>
      <c r="E160" s="169"/>
      <c r="F160" s="2"/>
      <c r="G160" s="119"/>
      <c r="H160" s="2"/>
      <c r="I160" s="169"/>
      <c r="J160" s="2"/>
      <c r="L160" s="2"/>
      <c r="M160" s="169"/>
      <c r="N160" s="2"/>
    </row>
    <row r="161" spans="1:16" ht="15.75" hidden="1">
      <c r="A161" s="178">
        <v>2</v>
      </c>
      <c r="B161" s="124"/>
      <c r="C161" s="124"/>
      <c r="D161" s="4"/>
      <c r="E161" s="143"/>
      <c r="F161" s="145"/>
      <c r="G161" s="124"/>
      <c r="H161" s="4"/>
      <c r="I161" s="143"/>
      <c r="J161" s="145"/>
      <c r="K161" s="161"/>
      <c r="L161" s="4"/>
      <c r="M161" s="143"/>
      <c r="N161" s="145"/>
      <c r="O161" s="174"/>
      <c r="P161" s="175"/>
    </row>
    <row r="162" spans="1:17" ht="15.75" hidden="1">
      <c r="A162" s="178"/>
      <c r="B162" s="124"/>
      <c r="C162" s="181"/>
      <c r="D162" s="182"/>
      <c r="E162" s="183"/>
      <c r="F162" s="124"/>
      <c r="G162" s="181"/>
      <c r="H162" s="184"/>
      <c r="I162" s="185"/>
      <c r="J162" s="185"/>
      <c r="K162" s="185"/>
      <c r="L162" s="185"/>
      <c r="M162" s="124"/>
      <c r="N162" s="180"/>
      <c r="O162" s="119"/>
      <c r="P162" s="47"/>
      <c r="Q162" s="47"/>
    </row>
    <row r="163" ht="12.75" hidden="1"/>
    <row r="164" spans="3:16" s="166" customFormat="1" ht="15.75" hidden="1">
      <c r="C164" s="162"/>
      <c r="F164" s="104"/>
      <c r="G164" s="95"/>
      <c r="H164" s="165"/>
      <c r="I164" s="48"/>
      <c r="J164" s="165"/>
      <c r="K164" s="167"/>
      <c r="L164" s="11"/>
      <c r="M164" s="95"/>
      <c r="N164" s="95"/>
      <c r="O164" s="95"/>
      <c r="P164" s="95"/>
    </row>
    <row r="165" s="166" customFormat="1" ht="12.75" hidden="1"/>
    <row r="166" s="166" customFormat="1" ht="12.75" hidden="1"/>
    <row r="167" spans="1:20" ht="16.5" hidden="1" thickBot="1">
      <c r="A167">
        <v>3</v>
      </c>
      <c r="F167" t="s">
        <v>345</v>
      </c>
      <c r="G167" s="10" t="s">
        <v>347</v>
      </c>
      <c r="H167" s="10" t="s">
        <v>348</v>
      </c>
      <c r="I167" s="94" t="s">
        <v>349</v>
      </c>
      <c r="J167" s="94" t="s">
        <v>350</v>
      </c>
      <c r="K167" s="94" t="s">
        <v>351</v>
      </c>
      <c r="L167" s="94" t="s">
        <v>352</v>
      </c>
      <c r="M167" s="94" t="s">
        <v>353</v>
      </c>
      <c r="N167" s="94" t="s">
        <v>354</v>
      </c>
      <c r="O167" s="96" t="s">
        <v>355</v>
      </c>
      <c r="P167" s="96">
        <v>1</v>
      </c>
      <c r="Q167" s="96">
        <v>2</v>
      </c>
      <c r="R167" s="96">
        <v>3</v>
      </c>
      <c r="S167" s="96">
        <v>4</v>
      </c>
      <c r="T167" s="96">
        <v>5</v>
      </c>
    </row>
    <row r="168" spans="1:20" ht="15.75" hidden="1">
      <c r="A168">
        <v>3</v>
      </c>
      <c r="E168" s="87">
        <v>0</v>
      </c>
      <c r="F168" s="261" t="e">
        <f aca="true" t="shared" si="28" ref="F168:F179">IF(puntosproljorvarios3&lt;620,T168,O168)</f>
        <v>#NAME?</v>
      </c>
      <c r="G168" s="257">
        <v>409</v>
      </c>
      <c r="H168" s="257">
        <v>99</v>
      </c>
      <c r="I168" s="257">
        <v>0</v>
      </c>
      <c r="J168" s="257">
        <v>0</v>
      </c>
      <c r="K168" s="257">
        <v>0</v>
      </c>
      <c r="L168" s="257">
        <v>0</v>
      </c>
      <c r="M168" s="257">
        <v>99</v>
      </c>
      <c r="N168" s="257">
        <v>99</v>
      </c>
      <c r="O168" s="97">
        <f aca="true" t="shared" si="29" ref="O168:O179">IF(punbasjubvarios3&gt;971,N168,M168)</f>
        <v>99</v>
      </c>
      <c r="P168" s="97">
        <f aca="true" t="shared" si="30" ref="P168:P179">IF(punbasjubvarios3&lt;972,G168,H168)</f>
        <v>99</v>
      </c>
      <c r="Q168" s="97">
        <f aca="true" t="shared" si="31" ref="Q168:Q179">IF(punbasjubvarios3&lt;1170,P168,I168)</f>
        <v>0</v>
      </c>
      <c r="R168" s="97">
        <f aca="true" t="shared" si="32" ref="R168:R179">IF(punbasjubvarios3&lt;1401,Q168,J168)</f>
        <v>0</v>
      </c>
      <c r="S168" s="97">
        <f aca="true" t="shared" si="33" ref="S168:S178">IF(punbasjubvarios3&lt;1943,R168,K168)</f>
        <v>0</v>
      </c>
      <c r="T168" s="97">
        <f aca="true" t="shared" si="34" ref="T168:T179">IF(punbasjubvarios3&lt;=2220,S168,L168)</f>
        <v>0</v>
      </c>
    </row>
    <row r="169" spans="1:20" ht="15.75" hidden="1">
      <c r="A169">
        <v>3</v>
      </c>
      <c r="E169" s="88">
        <v>0.1</v>
      </c>
      <c r="F169" s="261" t="e">
        <f t="shared" si="28"/>
        <v>#NAME?</v>
      </c>
      <c r="G169" s="257">
        <v>581</v>
      </c>
      <c r="H169" s="257">
        <v>112</v>
      </c>
      <c r="I169" s="257">
        <v>0</v>
      </c>
      <c r="J169" s="257">
        <v>0</v>
      </c>
      <c r="K169" s="257">
        <v>0</v>
      </c>
      <c r="L169" s="257">
        <v>0</v>
      </c>
      <c r="M169" s="257">
        <v>112</v>
      </c>
      <c r="N169" s="257">
        <v>112</v>
      </c>
      <c r="O169" s="97">
        <f t="shared" si="29"/>
        <v>112</v>
      </c>
      <c r="P169" s="97">
        <f t="shared" si="30"/>
        <v>112</v>
      </c>
      <c r="Q169" s="97">
        <f t="shared" si="31"/>
        <v>0</v>
      </c>
      <c r="R169" s="97">
        <f t="shared" si="32"/>
        <v>0</v>
      </c>
      <c r="S169" s="97">
        <f t="shared" si="33"/>
        <v>0</v>
      </c>
      <c r="T169" s="97">
        <f t="shared" si="34"/>
        <v>0</v>
      </c>
    </row>
    <row r="170" spans="1:20" ht="15.75" hidden="1">
      <c r="A170">
        <v>3</v>
      </c>
      <c r="E170" s="89">
        <v>0.15</v>
      </c>
      <c r="F170" s="261" t="e">
        <f t="shared" si="28"/>
        <v>#NAME?</v>
      </c>
      <c r="G170" s="257">
        <v>705</v>
      </c>
      <c r="H170" s="257">
        <v>224</v>
      </c>
      <c r="I170" s="257">
        <v>298</v>
      </c>
      <c r="J170" s="257">
        <v>240</v>
      </c>
      <c r="K170" s="257">
        <v>224</v>
      </c>
      <c r="L170" s="257">
        <v>0</v>
      </c>
      <c r="M170" s="257">
        <v>273</v>
      </c>
      <c r="N170" s="257">
        <v>273</v>
      </c>
      <c r="O170" s="97">
        <f t="shared" si="29"/>
        <v>273</v>
      </c>
      <c r="P170" s="97">
        <f t="shared" si="30"/>
        <v>224</v>
      </c>
      <c r="Q170" s="97">
        <f t="shared" si="31"/>
        <v>298</v>
      </c>
      <c r="R170" s="97">
        <f t="shared" si="32"/>
        <v>298</v>
      </c>
      <c r="S170" s="97">
        <f t="shared" si="33"/>
        <v>298</v>
      </c>
      <c r="T170" s="97">
        <f t="shared" si="34"/>
        <v>298</v>
      </c>
    </row>
    <row r="171" spans="1:20" ht="15.75" hidden="1">
      <c r="A171">
        <v>3</v>
      </c>
      <c r="E171" s="89">
        <v>0.3</v>
      </c>
      <c r="F171" s="261" t="e">
        <f t="shared" si="28"/>
        <v>#NAME?</v>
      </c>
      <c r="G171" s="257">
        <v>733</v>
      </c>
      <c r="H171" s="257">
        <v>242</v>
      </c>
      <c r="I171" s="257">
        <v>298</v>
      </c>
      <c r="J171" s="257">
        <v>240</v>
      </c>
      <c r="K171" s="257">
        <v>224</v>
      </c>
      <c r="L171" s="257">
        <v>0</v>
      </c>
      <c r="M171" s="257">
        <v>472</v>
      </c>
      <c r="N171" s="257">
        <v>435</v>
      </c>
      <c r="O171" s="97">
        <f t="shared" si="29"/>
        <v>435</v>
      </c>
      <c r="P171" s="97">
        <f t="shared" si="30"/>
        <v>242</v>
      </c>
      <c r="Q171" s="97">
        <f t="shared" si="31"/>
        <v>298</v>
      </c>
      <c r="R171" s="97">
        <f t="shared" si="32"/>
        <v>298</v>
      </c>
      <c r="S171" s="97">
        <f t="shared" si="33"/>
        <v>298</v>
      </c>
      <c r="T171" s="97">
        <f t="shared" si="34"/>
        <v>298</v>
      </c>
    </row>
    <row r="172" spans="1:20" ht="15.75" hidden="1">
      <c r="A172">
        <v>3</v>
      </c>
      <c r="E172" s="89">
        <v>0.4</v>
      </c>
      <c r="F172" s="261" t="e">
        <f t="shared" si="28"/>
        <v>#NAME?</v>
      </c>
      <c r="G172" s="257">
        <v>796</v>
      </c>
      <c r="H172" s="257">
        <v>261</v>
      </c>
      <c r="I172" s="257">
        <v>311</v>
      </c>
      <c r="J172" s="257">
        <v>248</v>
      </c>
      <c r="K172" s="257">
        <v>224</v>
      </c>
      <c r="L172" s="257">
        <v>174</v>
      </c>
      <c r="M172" s="257">
        <v>546</v>
      </c>
      <c r="N172" s="257">
        <v>497</v>
      </c>
      <c r="O172" s="97">
        <f t="shared" si="29"/>
        <v>497</v>
      </c>
      <c r="P172" s="97">
        <f t="shared" si="30"/>
        <v>261</v>
      </c>
      <c r="Q172" s="97">
        <f t="shared" si="31"/>
        <v>311</v>
      </c>
      <c r="R172" s="97">
        <f t="shared" si="32"/>
        <v>311</v>
      </c>
      <c r="S172" s="97">
        <f t="shared" si="33"/>
        <v>311</v>
      </c>
      <c r="T172" s="97">
        <f t="shared" si="34"/>
        <v>311</v>
      </c>
    </row>
    <row r="173" spans="1:20" ht="15.75" hidden="1">
      <c r="A173">
        <v>3</v>
      </c>
      <c r="E173" s="89">
        <v>0.5</v>
      </c>
      <c r="F173" s="261" t="e">
        <f t="shared" si="28"/>
        <v>#NAME?</v>
      </c>
      <c r="G173" s="257">
        <v>575</v>
      </c>
      <c r="H173" s="257">
        <v>286</v>
      </c>
      <c r="I173" s="257">
        <v>311</v>
      </c>
      <c r="J173" s="257">
        <v>248</v>
      </c>
      <c r="K173" s="257">
        <v>224</v>
      </c>
      <c r="L173" s="257">
        <v>174</v>
      </c>
      <c r="M173" s="257">
        <v>590</v>
      </c>
      <c r="N173" s="257">
        <v>540</v>
      </c>
      <c r="O173" s="97">
        <f t="shared" si="29"/>
        <v>540</v>
      </c>
      <c r="P173" s="97">
        <f t="shared" si="30"/>
        <v>286</v>
      </c>
      <c r="Q173" s="97">
        <f t="shared" si="31"/>
        <v>311</v>
      </c>
      <c r="R173" s="97">
        <f t="shared" si="32"/>
        <v>311</v>
      </c>
      <c r="S173" s="97">
        <f t="shared" si="33"/>
        <v>311</v>
      </c>
      <c r="T173" s="97">
        <f t="shared" si="34"/>
        <v>311</v>
      </c>
    </row>
    <row r="174" spans="1:20" ht="15.75" hidden="1">
      <c r="A174">
        <v>3</v>
      </c>
      <c r="E174" s="89">
        <v>0.6</v>
      </c>
      <c r="F174" s="261" t="e">
        <f t="shared" si="28"/>
        <v>#NAME?</v>
      </c>
      <c r="G174" s="257">
        <v>578</v>
      </c>
      <c r="H174" s="257">
        <v>323</v>
      </c>
      <c r="I174" s="257">
        <v>323</v>
      </c>
      <c r="J174" s="257">
        <v>252</v>
      </c>
      <c r="K174" s="257">
        <v>236</v>
      </c>
      <c r="L174" s="257">
        <v>199</v>
      </c>
      <c r="M174" s="257">
        <v>633</v>
      </c>
      <c r="N174" s="257">
        <v>559</v>
      </c>
      <c r="O174" s="97">
        <f t="shared" si="29"/>
        <v>559</v>
      </c>
      <c r="P174" s="97">
        <f t="shared" si="30"/>
        <v>323</v>
      </c>
      <c r="Q174" s="97">
        <f t="shared" si="31"/>
        <v>323</v>
      </c>
      <c r="R174" s="97">
        <f t="shared" si="32"/>
        <v>323</v>
      </c>
      <c r="S174" s="97">
        <f t="shared" si="33"/>
        <v>323</v>
      </c>
      <c r="T174" s="97">
        <f t="shared" si="34"/>
        <v>323</v>
      </c>
    </row>
    <row r="175" spans="1:20" ht="15.75" hidden="1">
      <c r="A175">
        <v>3</v>
      </c>
      <c r="E175" s="89">
        <v>0.7</v>
      </c>
      <c r="F175" s="261" t="e">
        <f t="shared" si="28"/>
        <v>#NAME?</v>
      </c>
      <c r="G175" s="257">
        <v>553</v>
      </c>
      <c r="H175" s="257">
        <v>354</v>
      </c>
      <c r="I175" s="257">
        <v>453</v>
      </c>
      <c r="J175" s="257">
        <v>286</v>
      </c>
      <c r="K175" s="257">
        <v>236</v>
      </c>
      <c r="L175" s="257">
        <v>199</v>
      </c>
      <c r="M175" s="257">
        <v>652</v>
      </c>
      <c r="N175" s="257">
        <v>578</v>
      </c>
      <c r="O175" s="97">
        <f t="shared" si="29"/>
        <v>578</v>
      </c>
      <c r="P175" s="97">
        <f t="shared" si="30"/>
        <v>354</v>
      </c>
      <c r="Q175" s="97">
        <f t="shared" si="31"/>
        <v>453</v>
      </c>
      <c r="R175" s="97">
        <f t="shared" si="32"/>
        <v>453</v>
      </c>
      <c r="S175" s="97">
        <f t="shared" si="33"/>
        <v>453</v>
      </c>
      <c r="T175" s="97">
        <f t="shared" si="34"/>
        <v>453</v>
      </c>
    </row>
    <row r="176" spans="1:20" ht="15.75" hidden="1">
      <c r="A176">
        <v>3</v>
      </c>
      <c r="E176" s="89">
        <v>0.8</v>
      </c>
      <c r="F176" s="261" t="e">
        <f t="shared" si="28"/>
        <v>#NAME?</v>
      </c>
      <c r="G176" s="257">
        <v>664</v>
      </c>
      <c r="H176" s="257">
        <v>428</v>
      </c>
      <c r="I176" s="257">
        <v>491</v>
      </c>
      <c r="J176" s="257">
        <v>422</v>
      </c>
      <c r="K176" s="257">
        <v>348</v>
      </c>
      <c r="L176" s="257">
        <v>224</v>
      </c>
      <c r="M176" s="257">
        <v>689</v>
      </c>
      <c r="N176" s="257">
        <v>590</v>
      </c>
      <c r="O176" s="97">
        <f t="shared" si="29"/>
        <v>590</v>
      </c>
      <c r="P176" s="97">
        <f t="shared" si="30"/>
        <v>428</v>
      </c>
      <c r="Q176" s="97">
        <f t="shared" si="31"/>
        <v>491</v>
      </c>
      <c r="R176" s="97">
        <f t="shared" si="32"/>
        <v>491</v>
      </c>
      <c r="S176" s="97">
        <f t="shared" si="33"/>
        <v>491</v>
      </c>
      <c r="T176" s="97">
        <f t="shared" si="34"/>
        <v>491</v>
      </c>
    </row>
    <row r="177" spans="1:20" ht="15.75" hidden="1">
      <c r="A177">
        <v>3</v>
      </c>
      <c r="E177" s="89">
        <v>1</v>
      </c>
      <c r="F177" s="261" t="e">
        <f t="shared" si="28"/>
        <v>#NAME?</v>
      </c>
      <c r="G177" s="257">
        <v>826</v>
      </c>
      <c r="H177" s="257">
        <v>540</v>
      </c>
      <c r="I177" s="257">
        <v>509</v>
      </c>
      <c r="J177" s="257">
        <v>410</v>
      </c>
      <c r="K177" s="257">
        <v>385</v>
      </c>
      <c r="L177" s="257">
        <v>224</v>
      </c>
      <c r="M177" s="257">
        <v>733</v>
      </c>
      <c r="N177" s="257">
        <v>609</v>
      </c>
      <c r="O177" s="97">
        <f t="shared" si="29"/>
        <v>609</v>
      </c>
      <c r="P177" s="97">
        <f t="shared" si="30"/>
        <v>540</v>
      </c>
      <c r="Q177" s="97">
        <f t="shared" si="31"/>
        <v>509</v>
      </c>
      <c r="R177" s="97">
        <f t="shared" si="32"/>
        <v>509</v>
      </c>
      <c r="S177" s="97">
        <f t="shared" si="33"/>
        <v>509</v>
      </c>
      <c r="T177" s="97">
        <f t="shared" si="34"/>
        <v>509</v>
      </c>
    </row>
    <row r="178" spans="1:20" ht="15.75" hidden="1">
      <c r="A178">
        <v>3</v>
      </c>
      <c r="E178" s="89">
        <v>1.1</v>
      </c>
      <c r="F178" s="261" t="e">
        <f t="shared" si="28"/>
        <v>#NAME?</v>
      </c>
      <c r="G178" s="257">
        <v>925</v>
      </c>
      <c r="H178" s="257">
        <v>615</v>
      </c>
      <c r="I178" s="257">
        <v>534</v>
      </c>
      <c r="J178" s="257">
        <v>410</v>
      </c>
      <c r="K178" s="257">
        <v>397</v>
      </c>
      <c r="L178" s="257">
        <v>236</v>
      </c>
      <c r="M178" s="257">
        <v>764</v>
      </c>
      <c r="N178" s="257">
        <v>627</v>
      </c>
      <c r="O178" s="97">
        <f t="shared" si="29"/>
        <v>627</v>
      </c>
      <c r="P178" s="97">
        <f t="shared" si="30"/>
        <v>615</v>
      </c>
      <c r="Q178" s="97">
        <f t="shared" si="31"/>
        <v>534</v>
      </c>
      <c r="R178" s="97">
        <f t="shared" si="32"/>
        <v>534</v>
      </c>
      <c r="S178" s="97">
        <f t="shared" si="33"/>
        <v>534</v>
      </c>
      <c r="T178" s="97">
        <f t="shared" si="34"/>
        <v>534</v>
      </c>
    </row>
    <row r="179" spans="1:20" ht="16.5" hidden="1" thickBot="1">
      <c r="A179">
        <v>3</v>
      </c>
      <c r="E179" s="90">
        <v>1.2</v>
      </c>
      <c r="F179" s="261" t="e">
        <f t="shared" si="28"/>
        <v>#NAME?</v>
      </c>
      <c r="G179" s="257">
        <v>956</v>
      </c>
      <c r="H179" s="257">
        <v>633</v>
      </c>
      <c r="I179" s="257">
        <v>596</v>
      </c>
      <c r="J179" s="257">
        <v>416</v>
      </c>
      <c r="K179" s="257">
        <v>410</v>
      </c>
      <c r="L179" s="257">
        <v>236</v>
      </c>
      <c r="M179" s="257">
        <v>770</v>
      </c>
      <c r="N179" s="257">
        <v>633</v>
      </c>
      <c r="O179" s="97">
        <f t="shared" si="29"/>
        <v>633</v>
      </c>
      <c r="P179" s="97">
        <f t="shared" si="30"/>
        <v>633</v>
      </c>
      <c r="Q179" s="97">
        <f t="shared" si="31"/>
        <v>596</v>
      </c>
      <c r="R179" s="97">
        <f t="shared" si="32"/>
        <v>596</v>
      </c>
      <c r="S179" s="97">
        <f>IF(punbasjubvarios1&lt;1943,R179,K179)</f>
        <v>596</v>
      </c>
      <c r="T179" s="97">
        <f t="shared" si="34"/>
        <v>596</v>
      </c>
    </row>
    <row r="180" spans="1:20" s="161" customFormat="1" ht="15.75" hidden="1">
      <c r="A180">
        <v>3</v>
      </c>
      <c r="E180" s="162"/>
      <c r="F180" s="104"/>
      <c r="G180" s="104"/>
      <c r="H180" s="163"/>
      <c r="I180" s="164"/>
      <c r="J180" s="164"/>
      <c r="K180" s="104"/>
      <c r="L180" s="11"/>
      <c r="M180" s="95"/>
      <c r="N180" s="95"/>
      <c r="O180" s="95"/>
      <c r="P180" s="95"/>
      <c r="Q180" s="95"/>
      <c r="R180" s="95"/>
      <c r="S180" s="95"/>
      <c r="T180" s="95"/>
    </row>
    <row r="181" spans="1:20" s="161" customFormat="1" ht="15.75" hidden="1">
      <c r="A181">
        <v>3</v>
      </c>
      <c r="E181" s="162"/>
      <c r="F181" s="104" t="s">
        <v>379</v>
      </c>
      <c r="G181" s="104" t="e">
        <f>LOOKUP(F213,porantvar3,cod06cargosvar3feb11)</f>
        <v>#NAME?</v>
      </c>
      <c r="H181" s="163"/>
      <c r="I181" s="164"/>
      <c r="J181" s="164"/>
      <c r="K181" s="104"/>
      <c r="L181" s="11"/>
      <c r="M181" s="95"/>
      <c r="N181" s="95"/>
      <c r="O181" s="95"/>
      <c r="P181" s="95"/>
      <c r="Q181" s="95"/>
      <c r="R181" s="95"/>
      <c r="S181" s="95"/>
      <c r="T181" s="95"/>
    </row>
    <row r="182" spans="1:20" s="161" customFormat="1" ht="15.75" hidden="1">
      <c r="A182"/>
      <c r="E182" s="162"/>
      <c r="F182" s="104"/>
      <c r="G182" s="104"/>
      <c r="H182" s="163"/>
      <c r="I182" s="164"/>
      <c r="J182" s="164"/>
      <c r="K182" s="104"/>
      <c r="L182" s="11"/>
      <c r="M182" s="95"/>
      <c r="N182" s="95"/>
      <c r="O182" s="95"/>
      <c r="P182" s="95"/>
      <c r="Q182" s="95"/>
      <c r="R182" s="95"/>
      <c r="S182" s="95"/>
      <c r="T182" s="95"/>
    </row>
    <row r="183" spans="1:20" ht="16.5" hidden="1" thickBot="1">
      <c r="A183">
        <v>3</v>
      </c>
      <c r="F183" t="s">
        <v>345</v>
      </c>
      <c r="G183" s="10" t="s">
        <v>347</v>
      </c>
      <c r="H183" s="10" t="s">
        <v>348</v>
      </c>
      <c r="I183" s="94" t="s">
        <v>349</v>
      </c>
      <c r="J183" s="94" t="s">
        <v>350</v>
      </c>
      <c r="K183" s="94" t="s">
        <v>351</v>
      </c>
      <c r="L183" s="94" t="s">
        <v>352</v>
      </c>
      <c r="M183" s="94" t="s">
        <v>353</v>
      </c>
      <c r="N183" s="94" t="s">
        <v>354</v>
      </c>
      <c r="O183" s="96" t="s">
        <v>355</v>
      </c>
      <c r="P183" s="96">
        <v>1</v>
      </c>
      <c r="Q183" s="96">
        <v>2</v>
      </c>
      <c r="R183" s="96">
        <v>3</v>
      </c>
      <c r="S183" s="96">
        <v>4</v>
      </c>
      <c r="T183" s="96">
        <v>5</v>
      </c>
    </row>
    <row r="184" spans="1:20" ht="15.75" hidden="1">
      <c r="A184">
        <v>3</v>
      </c>
      <c r="E184" s="87">
        <v>0</v>
      </c>
      <c r="F184" s="261" t="e">
        <f aca="true" t="shared" si="35" ref="F184:F195">IF(puntosproljorvarios3&lt;620,T184,O184)</f>
        <v>#NAME?</v>
      </c>
      <c r="G184" s="10">
        <v>499</v>
      </c>
      <c r="H184" s="10">
        <v>121</v>
      </c>
      <c r="I184" s="10">
        <v>0</v>
      </c>
      <c r="J184" s="10">
        <v>0</v>
      </c>
      <c r="K184" s="10">
        <v>0</v>
      </c>
      <c r="L184" s="10">
        <v>0</v>
      </c>
      <c r="M184" s="10">
        <v>121</v>
      </c>
      <c r="N184" s="10">
        <v>121</v>
      </c>
      <c r="O184" s="97">
        <f aca="true" t="shared" si="36" ref="O184:O195">IF(punbasjubvarios3&gt;971,N184,M184)</f>
        <v>121</v>
      </c>
      <c r="P184" s="97">
        <f aca="true" t="shared" si="37" ref="P184:P195">IF(punbasjubvarios3&lt;972,G184,H184)</f>
        <v>121</v>
      </c>
      <c r="Q184" s="97">
        <f aca="true" t="shared" si="38" ref="Q184:Q195">IF(punbasjubvarios3&lt;1170,P184,I184)</f>
        <v>0</v>
      </c>
      <c r="R184" s="97">
        <f aca="true" t="shared" si="39" ref="R184:R195">IF(punbasjubvarios3&lt;1401,Q184,J184)</f>
        <v>0</v>
      </c>
      <c r="S184" s="97">
        <f aca="true" t="shared" si="40" ref="S184:S194">IF(punbasjubvarios3&lt;1943,R184,K184)</f>
        <v>0</v>
      </c>
      <c r="T184" s="97">
        <f aca="true" t="shared" si="41" ref="T184:T195">IF(punbasjubvarios3&lt;=2220,S184,L184)</f>
        <v>0</v>
      </c>
    </row>
    <row r="185" spans="1:20" ht="15.75" hidden="1">
      <c r="A185">
        <v>3</v>
      </c>
      <c r="E185" s="88">
        <v>0.1</v>
      </c>
      <c r="F185" s="261" t="e">
        <f t="shared" si="35"/>
        <v>#NAME?</v>
      </c>
      <c r="G185" s="10">
        <v>709</v>
      </c>
      <c r="H185" s="10">
        <v>137</v>
      </c>
      <c r="I185" s="10">
        <v>0</v>
      </c>
      <c r="J185" s="10">
        <v>0</v>
      </c>
      <c r="K185" s="10">
        <v>0</v>
      </c>
      <c r="L185" s="10">
        <v>0</v>
      </c>
      <c r="M185" s="10">
        <v>137</v>
      </c>
      <c r="N185" s="10">
        <v>137</v>
      </c>
      <c r="O185" s="97">
        <f t="shared" si="36"/>
        <v>137</v>
      </c>
      <c r="P185" s="97">
        <f t="shared" si="37"/>
        <v>137</v>
      </c>
      <c r="Q185" s="97">
        <f t="shared" si="38"/>
        <v>0</v>
      </c>
      <c r="R185" s="97">
        <f t="shared" si="39"/>
        <v>0</v>
      </c>
      <c r="S185" s="97">
        <f t="shared" si="40"/>
        <v>0</v>
      </c>
      <c r="T185" s="97">
        <f t="shared" si="41"/>
        <v>0</v>
      </c>
    </row>
    <row r="186" spans="1:20" ht="15.75" hidden="1">
      <c r="A186">
        <v>3</v>
      </c>
      <c r="E186" s="89">
        <v>0.15</v>
      </c>
      <c r="F186" s="261" t="e">
        <f t="shared" si="35"/>
        <v>#NAME?</v>
      </c>
      <c r="G186" s="10">
        <v>860</v>
      </c>
      <c r="H186" s="10">
        <v>273</v>
      </c>
      <c r="I186" s="10">
        <v>364</v>
      </c>
      <c r="J186" s="10">
        <v>293</v>
      </c>
      <c r="K186" s="10">
        <v>273</v>
      </c>
      <c r="L186" s="10">
        <v>0</v>
      </c>
      <c r="M186" s="10">
        <v>333</v>
      </c>
      <c r="N186" s="10">
        <v>333</v>
      </c>
      <c r="O186" s="97">
        <f t="shared" si="36"/>
        <v>333</v>
      </c>
      <c r="P186" s="97">
        <f t="shared" si="37"/>
        <v>273</v>
      </c>
      <c r="Q186" s="97">
        <f t="shared" si="38"/>
        <v>364</v>
      </c>
      <c r="R186" s="97">
        <f t="shared" si="39"/>
        <v>364</v>
      </c>
      <c r="S186" s="97">
        <f t="shared" si="40"/>
        <v>364</v>
      </c>
      <c r="T186" s="97">
        <f t="shared" si="41"/>
        <v>364</v>
      </c>
    </row>
    <row r="187" spans="1:20" ht="15.75" hidden="1">
      <c r="A187">
        <v>3</v>
      </c>
      <c r="E187" s="89">
        <v>0.3</v>
      </c>
      <c r="F187" s="261" t="e">
        <f t="shared" si="35"/>
        <v>#NAME?</v>
      </c>
      <c r="G187" s="10">
        <v>894</v>
      </c>
      <c r="H187" s="10">
        <v>295</v>
      </c>
      <c r="I187" s="10">
        <v>364</v>
      </c>
      <c r="J187" s="10">
        <v>293</v>
      </c>
      <c r="K187" s="10">
        <v>273</v>
      </c>
      <c r="L187" s="10">
        <v>0</v>
      </c>
      <c r="M187" s="10">
        <v>576</v>
      </c>
      <c r="N187" s="10">
        <v>531</v>
      </c>
      <c r="O187" s="97">
        <f t="shared" si="36"/>
        <v>531</v>
      </c>
      <c r="P187" s="97">
        <f t="shared" si="37"/>
        <v>295</v>
      </c>
      <c r="Q187" s="97">
        <f t="shared" si="38"/>
        <v>364</v>
      </c>
      <c r="R187" s="97">
        <f t="shared" si="39"/>
        <v>364</v>
      </c>
      <c r="S187" s="97">
        <f t="shared" si="40"/>
        <v>364</v>
      </c>
      <c r="T187" s="97">
        <f t="shared" si="41"/>
        <v>364</v>
      </c>
    </row>
    <row r="188" spans="1:20" ht="15.75" hidden="1">
      <c r="A188">
        <v>3</v>
      </c>
      <c r="E188" s="89">
        <v>0.4</v>
      </c>
      <c r="F188" s="261" t="e">
        <f t="shared" si="35"/>
        <v>#NAME?</v>
      </c>
      <c r="G188" s="10">
        <v>806</v>
      </c>
      <c r="H188" s="10">
        <v>318</v>
      </c>
      <c r="I188" s="10">
        <v>379</v>
      </c>
      <c r="J188" s="10">
        <v>303</v>
      </c>
      <c r="K188" s="10">
        <v>273</v>
      </c>
      <c r="L188" s="10">
        <v>212</v>
      </c>
      <c r="M188" s="10">
        <v>666</v>
      </c>
      <c r="N188" s="10">
        <v>606</v>
      </c>
      <c r="O188" s="97">
        <f t="shared" si="36"/>
        <v>606</v>
      </c>
      <c r="P188" s="97">
        <f t="shared" si="37"/>
        <v>318</v>
      </c>
      <c r="Q188" s="97">
        <f t="shared" si="38"/>
        <v>379</v>
      </c>
      <c r="R188" s="97">
        <f t="shared" si="39"/>
        <v>379</v>
      </c>
      <c r="S188" s="97">
        <f t="shared" si="40"/>
        <v>379</v>
      </c>
      <c r="T188" s="97">
        <f t="shared" si="41"/>
        <v>379</v>
      </c>
    </row>
    <row r="189" spans="1:20" ht="15.75" hidden="1">
      <c r="A189">
        <v>3</v>
      </c>
      <c r="E189" s="89">
        <v>0.5</v>
      </c>
      <c r="F189" s="261" t="e">
        <f t="shared" si="35"/>
        <v>#NAME?</v>
      </c>
      <c r="G189" s="10">
        <v>702</v>
      </c>
      <c r="H189" s="10">
        <v>349</v>
      </c>
      <c r="I189" s="10">
        <v>379</v>
      </c>
      <c r="J189" s="10">
        <v>303</v>
      </c>
      <c r="K189" s="10">
        <v>273</v>
      </c>
      <c r="L189" s="10">
        <v>212</v>
      </c>
      <c r="M189" s="10">
        <v>720</v>
      </c>
      <c r="N189" s="10">
        <v>659</v>
      </c>
      <c r="O189" s="97">
        <f t="shared" si="36"/>
        <v>659</v>
      </c>
      <c r="P189" s="97">
        <f t="shared" si="37"/>
        <v>349</v>
      </c>
      <c r="Q189" s="97">
        <f t="shared" si="38"/>
        <v>379</v>
      </c>
      <c r="R189" s="97">
        <f t="shared" si="39"/>
        <v>379</v>
      </c>
      <c r="S189" s="97">
        <f t="shared" si="40"/>
        <v>379</v>
      </c>
      <c r="T189" s="97">
        <f t="shared" si="41"/>
        <v>379</v>
      </c>
    </row>
    <row r="190" spans="1:20" ht="15.75" hidden="1">
      <c r="A190">
        <v>3</v>
      </c>
      <c r="E190" s="89">
        <v>0.6</v>
      </c>
      <c r="F190" s="261" t="e">
        <f t="shared" si="35"/>
        <v>#NAME?</v>
      </c>
      <c r="G190" s="10">
        <v>705</v>
      </c>
      <c r="H190" s="10">
        <v>394</v>
      </c>
      <c r="I190" s="10">
        <v>394</v>
      </c>
      <c r="J190" s="10">
        <v>307</v>
      </c>
      <c r="K190" s="10">
        <v>288</v>
      </c>
      <c r="L190" s="10">
        <v>243</v>
      </c>
      <c r="M190" s="10">
        <v>772</v>
      </c>
      <c r="N190" s="10">
        <v>682</v>
      </c>
      <c r="O190" s="97">
        <f t="shared" si="36"/>
        <v>682</v>
      </c>
      <c r="P190" s="97">
        <f t="shared" si="37"/>
        <v>394</v>
      </c>
      <c r="Q190" s="97">
        <f t="shared" si="38"/>
        <v>394</v>
      </c>
      <c r="R190" s="97">
        <f t="shared" si="39"/>
        <v>394</v>
      </c>
      <c r="S190" s="97">
        <f t="shared" si="40"/>
        <v>394</v>
      </c>
      <c r="T190" s="97">
        <f t="shared" si="41"/>
        <v>394</v>
      </c>
    </row>
    <row r="191" spans="1:20" ht="15.75" hidden="1">
      <c r="A191">
        <v>3</v>
      </c>
      <c r="E191" s="89">
        <v>0.7</v>
      </c>
      <c r="F191" s="261" t="e">
        <f t="shared" si="35"/>
        <v>#NAME?</v>
      </c>
      <c r="G191" s="10">
        <v>675</v>
      </c>
      <c r="H191" s="10">
        <v>432</v>
      </c>
      <c r="I191" s="10">
        <v>553</v>
      </c>
      <c r="J191" s="10">
        <v>349</v>
      </c>
      <c r="K191" s="10">
        <v>288</v>
      </c>
      <c r="L191" s="10">
        <v>243</v>
      </c>
      <c r="M191" s="10">
        <v>795</v>
      </c>
      <c r="N191" s="10">
        <v>705</v>
      </c>
      <c r="O191" s="97">
        <f t="shared" si="36"/>
        <v>705</v>
      </c>
      <c r="P191" s="97">
        <f t="shared" si="37"/>
        <v>432</v>
      </c>
      <c r="Q191" s="97">
        <f t="shared" si="38"/>
        <v>553</v>
      </c>
      <c r="R191" s="97">
        <f t="shared" si="39"/>
        <v>553</v>
      </c>
      <c r="S191" s="97">
        <f t="shared" si="40"/>
        <v>553</v>
      </c>
      <c r="T191" s="97">
        <f t="shared" si="41"/>
        <v>553</v>
      </c>
    </row>
    <row r="192" spans="1:20" ht="15.75" hidden="1">
      <c r="A192">
        <v>3</v>
      </c>
      <c r="E192" s="89">
        <v>0.8</v>
      </c>
      <c r="F192" s="261" t="e">
        <f t="shared" si="35"/>
        <v>#NAME?</v>
      </c>
      <c r="G192" s="10">
        <v>810</v>
      </c>
      <c r="H192" s="10">
        <v>522</v>
      </c>
      <c r="I192" s="10">
        <v>599</v>
      </c>
      <c r="J192" s="10">
        <v>515</v>
      </c>
      <c r="K192" s="10">
        <v>425</v>
      </c>
      <c r="L192" s="10">
        <v>273</v>
      </c>
      <c r="M192" s="10">
        <v>841</v>
      </c>
      <c r="N192" s="10">
        <v>720</v>
      </c>
      <c r="O192" s="97">
        <f t="shared" si="36"/>
        <v>720</v>
      </c>
      <c r="P192" s="97">
        <f t="shared" si="37"/>
        <v>522</v>
      </c>
      <c r="Q192" s="97">
        <f t="shared" si="38"/>
        <v>599</v>
      </c>
      <c r="R192" s="97">
        <f t="shared" si="39"/>
        <v>599</v>
      </c>
      <c r="S192" s="97">
        <f t="shared" si="40"/>
        <v>599</v>
      </c>
      <c r="T192" s="97">
        <f t="shared" si="41"/>
        <v>599</v>
      </c>
    </row>
    <row r="193" spans="1:20" ht="15.75" hidden="1">
      <c r="A193">
        <v>3</v>
      </c>
      <c r="E193" s="89">
        <v>1</v>
      </c>
      <c r="F193" s="261" t="e">
        <f t="shared" si="35"/>
        <v>#NAME?</v>
      </c>
      <c r="G193" s="10">
        <v>1008</v>
      </c>
      <c r="H193" s="10">
        <v>659</v>
      </c>
      <c r="I193" s="10">
        <v>621</v>
      </c>
      <c r="J193" s="10">
        <v>500</v>
      </c>
      <c r="K193" s="10">
        <v>470</v>
      </c>
      <c r="L193" s="10">
        <v>273</v>
      </c>
      <c r="M193" s="10">
        <v>894</v>
      </c>
      <c r="N193" s="10">
        <v>743</v>
      </c>
      <c r="O193" s="97">
        <f t="shared" si="36"/>
        <v>743</v>
      </c>
      <c r="P193" s="97">
        <f t="shared" si="37"/>
        <v>659</v>
      </c>
      <c r="Q193" s="97">
        <f t="shared" si="38"/>
        <v>621</v>
      </c>
      <c r="R193" s="97">
        <f t="shared" si="39"/>
        <v>621</v>
      </c>
      <c r="S193" s="97">
        <f t="shared" si="40"/>
        <v>621</v>
      </c>
      <c r="T193" s="97">
        <f t="shared" si="41"/>
        <v>621</v>
      </c>
    </row>
    <row r="194" spans="1:20" ht="15.75" hidden="1">
      <c r="A194">
        <v>3</v>
      </c>
      <c r="E194" s="89">
        <v>1.1</v>
      </c>
      <c r="F194" s="261" t="e">
        <f t="shared" si="35"/>
        <v>#NAME?</v>
      </c>
      <c r="G194" s="284">
        <v>1129</v>
      </c>
      <c r="H194" s="285">
        <v>750</v>
      </c>
      <c r="I194" s="10">
        <v>651</v>
      </c>
      <c r="J194" s="10">
        <v>500</v>
      </c>
      <c r="K194" s="10">
        <v>484</v>
      </c>
      <c r="L194" s="10">
        <v>288</v>
      </c>
      <c r="M194" s="10">
        <v>932</v>
      </c>
      <c r="N194" s="10">
        <v>765</v>
      </c>
      <c r="O194" s="97">
        <f t="shared" si="36"/>
        <v>765</v>
      </c>
      <c r="P194" s="97">
        <f t="shared" si="37"/>
        <v>750</v>
      </c>
      <c r="Q194" s="97">
        <f t="shared" si="38"/>
        <v>651</v>
      </c>
      <c r="R194" s="97">
        <f t="shared" si="39"/>
        <v>651</v>
      </c>
      <c r="S194" s="97">
        <f t="shared" si="40"/>
        <v>651</v>
      </c>
      <c r="T194" s="97">
        <f t="shared" si="41"/>
        <v>651</v>
      </c>
    </row>
    <row r="195" spans="1:20" ht="16.5" hidden="1" thickBot="1">
      <c r="A195">
        <v>3</v>
      </c>
      <c r="E195" s="90">
        <v>1.2</v>
      </c>
      <c r="F195" s="261" t="e">
        <f t="shared" si="35"/>
        <v>#NAME?</v>
      </c>
      <c r="G195" s="10">
        <v>1166</v>
      </c>
      <c r="H195" s="10">
        <v>772</v>
      </c>
      <c r="I195" s="10">
        <v>727</v>
      </c>
      <c r="J195" s="10">
        <v>508</v>
      </c>
      <c r="K195" s="10">
        <v>500</v>
      </c>
      <c r="L195" s="10">
        <v>288</v>
      </c>
      <c r="M195" s="10">
        <v>939</v>
      </c>
      <c r="N195" s="10">
        <v>772</v>
      </c>
      <c r="O195" s="97">
        <f t="shared" si="36"/>
        <v>772</v>
      </c>
      <c r="P195" s="97">
        <f t="shared" si="37"/>
        <v>772</v>
      </c>
      <c r="Q195" s="97">
        <f t="shared" si="38"/>
        <v>727</v>
      </c>
      <c r="R195" s="97">
        <f t="shared" si="39"/>
        <v>727</v>
      </c>
      <c r="S195" s="97">
        <f>IF(punbasjubvarios1&lt;1943,R195,K195)</f>
        <v>727</v>
      </c>
      <c r="T195" s="97">
        <f t="shared" si="41"/>
        <v>727</v>
      </c>
    </row>
    <row r="196" spans="1:20" s="161" customFormat="1" ht="15.75" hidden="1">
      <c r="A196">
        <v>3</v>
      </c>
      <c r="E196" s="162"/>
      <c r="F196" s="104"/>
      <c r="G196" s="104"/>
      <c r="H196" s="163"/>
      <c r="I196" s="164"/>
      <c r="J196" s="164"/>
      <c r="K196" s="104"/>
      <c r="L196" s="11"/>
      <c r="M196" s="95"/>
      <c r="N196" s="95"/>
      <c r="O196" s="95"/>
      <c r="P196" s="95"/>
      <c r="Q196" s="95"/>
      <c r="R196" s="95"/>
      <c r="S196" s="95"/>
      <c r="T196" s="95"/>
    </row>
    <row r="197" spans="1:20" s="161" customFormat="1" ht="15.75" hidden="1">
      <c r="A197">
        <v>3</v>
      </c>
      <c r="E197" s="162"/>
      <c r="F197" s="104" t="s">
        <v>380</v>
      </c>
      <c r="G197" s="104" t="e">
        <f>LOOKUP(F213,porantvar3,cod06cargosvar3mar11)</f>
        <v>#NAME?</v>
      </c>
      <c r="H197" s="163"/>
      <c r="I197" s="164"/>
      <c r="J197" s="164"/>
      <c r="K197" s="104"/>
      <c r="L197" s="11"/>
      <c r="M197" s="95"/>
      <c r="N197" s="95"/>
      <c r="O197" s="95"/>
      <c r="P197" s="95"/>
      <c r="Q197" s="95"/>
      <c r="R197" s="95"/>
      <c r="S197" s="95"/>
      <c r="T197" s="95"/>
    </row>
    <row r="198" spans="1:20" s="161" customFormat="1" ht="15.75" hidden="1">
      <c r="A198"/>
      <c r="E198" s="162"/>
      <c r="F198" s="104"/>
      <c r="G198" s="104"/>
      <c r="H198" s="163"/>
      <c r="I198" s="164"/>
      <c r="J198" s="164"/>
      <c r="K198" s="104"/>
      <c r="L198" s="11"/>
      <c r="M198" s="95"/>
      <c r="N198" s="95"/>
      <c r="O198" s="95"/>
      <c r="P198" s="95"/>
      <c r="Q198" s="95"/>
      <c r="R198" s="95"/>
      <c r="S198" s="95"/>
      <c r="T198" s="95"/>
    </row>
    <row r="199" s="166" customFormat="1" ht="12.75" hidden="1">
      <c r="A199">
        <v>3</v>
      </c>
    </row>
    <row r="200" ht="12.75" hidden="1">
      <c r="A200">
        <v>3</v>
      </c>
    </row>
    <row r="201" spans="1:15" ht="12.75">
      <c r="A201" s="189">
        <v>3</v>
      </c>
      <c r="B201" s="189"/>
      <c r="C201" s="189"/>
      <c r="D201" s="189"/>
      <c r="E201" s="189"/>
      <c r="F201" s="189"/>
      <c r="G201" s="189"/>
      <c r="H201" s="189"/>
      <c r="I201" s="189"/>
      <c r="J201" s="189"/>
      <c r="K201" s="189"/>
      <c r="L201" s="189"/>
      <c r="M201" s="189"/>
      <c r="N201" s="189"/>
      <c r="O201" s="189"/>
    </row>
    <row r="202" spans="1:17" ht="20.25">
      <c r="A202" s="189">
        <v>3</v>
      </c>
      <c r="B202" s="127"/>
      <c r="C202" s="43"/>
      <c r="D202" s="43"/>
      <c r="E202" s="53" t="s">
        <v>339</v>
      </c>
      <c r="F202" s="10"/>
      <c r="G202" s="10"/>
      <c r="H202" s="43"/>
      <c r="I202" s="43"/>
      <c r="J202" s="43"/>
      <c r="K202" s="43"/>
      <c r="L202" s="43"/>
      <c r="M202" s="43"/>
      <c r="N202" s="126"/>
      <c r="O202" s="197"/>
      <c r="P202" s="104"/>
      <c r="Q202" s="104"/>
    </row>
    <row r="203" spans="1:17" ht="12.75">
      <c r="A203" s="189">
        <v>3</v>
      </c>
      <c r="B203" s="127"/>
      <c r="C203" s="127"/>
      <c r="D203" s="127"/>
      <c r="E203" s="127"/>
      <c r="F203" s="127"/>
      <c r="G203" s="127"/>
      <c r="H203" s="191"/>
      <c r="I203" s="127"/>
      <c r="J203" s="127"/>
      <c r="K203" s="127"/>
      <c r="L203" s="127"/>
      <c r="M203" s="127"/>
      <c r="N203" s="126"/>
      <c r="O203" s="197"/>
      <c r="P203" s="104"/>
      <c r="Q203" s="104"/>
    </row>
    <row r="204" spans="1:17" ht="12.75">
      <c r="A204" s="189">
        <v>3</v>
      </c>
      <c r="B204" s="189"/>
      <c r="C204" s="189"/>
      <c r="D204" s="36" t="s">
        <v>30</v>
      </c>
      <c r="E204" s="36" t="s">
        <v>309</v>
      </c>
      <c r="F204" s="36" t="s">
        <v>310</v>
      </c>
      <c r="G204" s="36" t="s">
        <v>311</v>
      </c>
      <c r="H204" s="36" t="s">
        <v>312</v>
      </c>
      <c r="I204" s="73" t="s">
        <v>356</v>
      </c>
      <c r="J204" s="314" t="s">
        <v>383</v>
      </c>
      <c r="K204" s="127"/>
      <c r="L204" s="127"/>
      <c r="M204" s="127"/>
      <c r="N204" s="126"/>
      <c r="O204" s="197"/>
      <c r="P204" s="104"/>
      <c r="Q204" s="104"/>
    </row>
    <row r="205" spans="1:17" ht="16.5" thickBot="1">
      <c r="A205" s="189">
        <v>3</v>
      </c>
      <c r="B205" s="189"/>
      <c r="C205" s="189"/>
      <c r="D205" s="82">
        <v>741</v>
      </c>
      <c r="E205" s="54">
        <f>LOOKUP(D205,[0]!numerocargo,[0]!puntosbasicoscargo)</f>
        <v>1300</v>
      </c>
      <c r="F205" s="54" t="e">
        <f>LOOKUP(D205,[0]!numerocargo,[0]!tardifcargo)</f>
        <v>#NAME?</v>
      </c>
      <c r="G205" s="54">
        <f>LOOKUP(D205,[0]!numerocargo,[0]!proljorcargo)</f>
        <v>1660</v>
      </c>
      <c r="H205" s="54" t="e">
        <f>LOOKUP(D205,[0]!numerocargo,[0]!jorcomcargo)</f>
        <v>#NAME?</v>
      </c>
      <c r="I205" s="36">
        <f>LOOKUP(D205,Cargos!A1:A338,puntoscompbasico)</f>
        <v>216</v>
      </c>
      <c r="J205" s="313" t="e">
        <f>LOOKUP(D205,Cargos!A1:A338,puntosadicdir)</f>
        <v>#REF!</v>
      </c>
      <c r="K205" s="127"/>
      <c r="L205" s="127"/>
      <c r="M205" s="127"/>
      <c r="N205" s="126"/>
      <c r="O205" s="197"/>
      <c r="P205" s="104"/>
      <c r="Q205" s="104"/>
    </row>
    <row r="206" spans="1:17" ht="13.5" thickBot="1">
      <c r="A206" s="189">
        <v>3</v>
      </c>
      <c r="B206" s="189"/>
      <c r="C206" s="189"/>
      <c r="D206" s="55" t="s">
        <v>31</v>
      </c>
      <c r="E206" s="56" t="str">
        <f>LOOKUP(D205,[0]!numerocargo,[0]!nombrecargo)</f>
        <v> SECRETARIO ESCUELA 2DA CATEGORIA</v>
      </c>
      <c r="F206" s="35"/>
      <c r="G206" s="35"/>
      <c r="H206" s="44"/>
      <c r="I206" s="127"/>
      <c r="J206" s="127"/>
      <c r="K206" s="127"/>
      <c r="L206" s="127"/>
      <c r="M206" s="127"/>
      <c r="N206" s="126"/>
      <c r="O206" s="197"/>
      <c r="P206" s="104"/>
      <c r="Q206" s="104"/>
    </row>
    <row r="207" spans="1:17" ht="13.5" thickBot="1">
      <c r="A207" s="189">
        <v>3</v>
      </c>
      <c r="B207" s="189"/>
      <c r="C207" s="189"/>
      <c r="D207" s="190"/>
      <c r="E207" s="191"/>
      <c r="F207" s="127"/>
      <c r="G207" s="127"/>
      <c r="H207" s="127"/>
      <c r="I207" s="91" t="s">
        <v>330</v>
      </c>
      <c r="J207" s="199"/>
      <c r="K207" s="199"/>
      <c r="L207" s="199"/>
      <c r="M207" s="127"/>
      <c r="N207" s="127"/>
      <c r="O207" s="127"/>
      <c r="P207" s="10"/>
      <c r="Q207" s="10"/>
    </row>
    <row r="208" spans="1:17" ht="19.5" thickBot="1" thickTop="1">
      <c r="A208" s="189">
        <v>3</v>
      </c>
      <c r="B208" s="189"/>
      <c r="C208" s="189"/>
      <c r="D208" s="105" t="s">
        <v>324</v>
      </c>
      <c r="E208" s="86"/>
      <c r="F208" s="86"/>
      <c r="G208" s="86"/>
      <c r="H208" s="106">
        <v>15</v>
      </c>
      <c r="I208" s="92">
        <f>H208/120</f>
        <v>0.125</v>
      </c>
      <c r="J208" s="191"/>
      <c r="K208" s="191"/>
      <c r="L208" s="191"/>
      <c r="M208" s="127"/>
      <c r="N208" s="127"/>
      <c r="O208" s="127"/>
      <c r="P208" s="10"/>
      <c r="Q208" s="10"/>
    </row>
    <row r="209" spans="1:17" ht="17.25" thickBot="1" thickTop="1">
      <c r="A209" s="189">
        <v>3</v>
      </c>
      <c r="B209" s="190"/>
      <c r="C209" s="191"/>
      <c r="D209" s="127"/>
      <c r="E209" s="127"/>
      <c r="F209" s="244"/>
      <c r="G209" s="127"/>
      <c r="H209" s="323"/>
      <c r="I209" s="127"/>
      <c r="J209" s="127"/>
      <c r="K209" s="127"/>
      <c r="L209" s="127"/>
      <c r="M209" s="127"/>
      <c r="N209" s="127"/>
      <c r="O209" s="127"/>
      <c r="P209" s="10"/>
      <c r="Q209" s="10"/>
    </row>
    <row r="210" spans="1:17" ht="17.25" thickBot="1" thickTop="1">
      <c r="A210" s="189">
        <v>3</v>
      </c>
      <c r="B210" s="190"/>
      <c r="C210" s="189"/>
      <c r="D210" s="85" t="s">
        <v>332</v>
      </c>
      <c r="E210" s="93">
        <v>0</v>
      </c>
      <c r="F210" s="244"/>
      <c r="G210" s="127"/>
      <c r="H210" s="191"/>
      <c r="I210" s="127"/>
      <c r="J210" s="127"/>
      <c r="K210" s="127"/>
      <c r="L210" s="127"/>
      <c r="M210" s="127"/>
      <c r="N210" s="127"/>
      <c r="O210" s="127"/>
      <c r="P210" s="10"/>
      <c r="Q210" s="10"/>
    </row>
    <row r="211" spans="1:17" ht="14.25" thickBot="1" thickTop="1">
      <c r="A211" s="189">
        <v>3</v>
      </c>
      <c r="B211" s="190"/>
      <c r="C211" s="191"/>
      <c r="D211" s="127"/>
      <c r="E211" s="324"/>
      <c r="F211" s="127"/>
      <c r="G211" s="127"/>
      <c r="H211" s="191"/>
      <c r="I211" s="127"/>
      <c r="J211" s="127"/>
      <c r="K211" s="127"/>
      <c r="L211" s="127"/>
      <c r="M211" s="127"/>
      <c r="N211" s="127"/>
      <c r="O211" s="127"/>
      <c r="P211" s="10"/>
      <c r="Q211" s="10"/>
    </row>
    <row r="212" spans="1:17" ht="16.5" thickBot="1">
      <c r="A212" s="189">
        <v>3</v>
      </c>
      <c r="B212" s="127"/>
      <c r="C212" s="43"/>
      <c r="D212" s="57" t="s">
        <v>8</v>
      </c>
      <c r="E212" s="35"/>
      <c r="F212" s="58" t="e">
        <f>E205*indicesep2010</f>
        <v>#NAME?</v>
      </c>
      <c r="G212" s="43"/>
      <c r="H212" s="43"/>
      <c r="I212" s="43"/>
      <c r="J212" s="43"/>
      <c r="K212" s="43"/>
      <c r="L212" s="43"/>
      <c r="M212" s="128"/>
      <c r="N212" s="128"/>
      <c r="O212" s="43"/>
      <c r="P212" s="10"/>
      <c r="Q212" s="10"/>
    </row>
    <row r="213" spans="1:17" ht="16.5" thickBot="1">
      <c r="A213" s="189">
        <v>3</v>
      </c>
      <c r="B213" s="127"/>
      <c r="C213" s="43"/>
      <c r="D213" s="57" t="s">
        <v>9</v>
      </c>
      <c r="E213" s="35"/>
      <c r="F213" s="84">
        <v>1.2</v>
      </c>
      <c r="G213" s="10" t="s">
        <v>10</v>
      </c>
      <c r="H213" s="10"/>
      <c r="I213" s="43"/>
      <c r="J213" s="43"/>
      <c r="K213" s="43"/>
      <c r="L213" s="43"/>
      <c r="M213" s="43"/>
      <c r="N213" s="128"/>
      <c r="O213" s="43"/>
      <c r="P213" s="10"/>
      <c r="Q213" s="10"/>
    </row>
    <row r="214" spans="1:17" ht="15.75">
      <c r="A214" s="189">
        <v>3</v>
      </c>
      <c r="B214" s="127"/>
      <c r="C214" s="43"/>
      <c r="D214" s="127"/>
      <c r="E214" s="127"/>
      <c r="F214" s="129"/>
      <c r="G214" s="43"/>
      <c r="H214" s="43"/>
      <c r="I214" s="43"/>
      <c r="J214" s="43"/>
      <c r="K214" s="43"/>
      <c r="L214" s="43"/>
      <c r="M214" s="43"/>
      <c r="N214" s="130"/>
      <c r="O214" s="43"/>
      <c r="P214" s="10"/>
      <c r="Q214" s="10"/>
    </row>
    <row r="215" spans="1:17" ht="18.75" hidden="1" thickBot="1">
      <c r="A215" s="189">
        <v>3</v>
      </c>
      <c r="B215" s="127"/>
      <c r="C215" s="43"/>
      <c r="D215" s="60" t="s">
        <v>11</v>
      </c>
      <c r="E215" s="60"/>
      <c r="F215" s="61">
        <f>E205</f>
        <v>1300</v>
      </c>
      <c r="G215" s="10" t="s">
        <v>12</v>
      </c>
      <c r="H215" s="43"/>
      <c r="I215" s="59" t="e">
        <f>H205+G205</f>
        <v>#NAME?</v>
      </c>
      <c r="J215" s="128"/>
      <c r="K215" s="128"/>
      <c r="L215" s="128"/>
      <c r="M215" s="127"/>
      <c r="N215" s="43"/>
      <c r="O215" s="43"/>
      <c r="P215" s="10"/>
      <c r="Q215" s="10"/>
    </row>
    <row r="216" spans="1:17" ht="15.75" hidden="1">
      <c r="A216" s="189">
        <v>3</v>
      </c>
      <c r="B216" s="127"/>
      <c r="C216" s="43"/>
      <c r="D216" s="127"/>
      <c r="E216" s="127"/>
      <c r="F216" s="129"/>
      <c r="G216" s="43"/>
      <c r="H216" s="43"/>
      <c r="I216" s="127"/>
      <c r="J216" s="127"/>
      <c r="K216" s="127"/>
      <c r="L216" s="127"/>
      <c r="M216" s="245"/>
      <c r="N216" s="43"/>
      <c r="O216" s="43"/>
      <c r="P216" s="10"/>
      <c r="Q216" s="10"/>
    </row>
    <row r="217" spans="1:15" ht="15.75" hidden="1">
      <c r="A217" s="189">
        <v>3</v>
      </c>
      <c r="B217" s="127"/>
      <c r="C217" s="43"/>
      <c r="D217" s="10"/>
      <c r="E217" s="98" t="s">
        <v>373</v>
      </c>
      <c r="F217" s="10"/>
      <c r="G217" s="102"/>
      <c r="H217" s="10"/>
      <c r="I217" s="98" t="s">
        <v>374</v>
      </c>
      <c r="J217" s="10"/>
      <c r="K217" s="189"/>
      <c r="L217" s="11"/>
      <c r="M217" s="296"/>
      <c r="N217" s="11"/>
      <c r="O217" s="189"/>
    </row>
    <row r="218" spans="1:15" ht="12.75" hidden="1">
      <c r="A218" s="189">
        <v>3</v>
      </c>
      <c r="B218" s="127"/>
      <c r="C218" s="189"/>
      <c r="D218" s="16">
        <v>400</v>
      </c>
      <c r="E218" s="16" t="s">
        <v>13</v>
      </c>
      <c r="F218" s="62" t="e">
        <f>punbasjubvarios3*indicesep2010*porjubvarcar*frac3</f>
        <v>#NAME?</v>
      </c>
      <c r="G218" s="189"/>
      <c r="H218" s="16">
        <v>400</v>
      </c>
      <c r="I218" s="16" t="s">
        <v>13</v>
      </c>
      <c r="J218" s="62" t="e">
        <f>punbasjubvarios3*indicemar2011*porjubvarcar*frac3</f>
        <v>#NAME?</v>
      </c>
      <c r="K218" s="189"/>
      <c r="L218" s="11"/>
      <c r="M218" s="11"/>
      <c r="N218" s="297"/>
      <c r="O218" s="189"/>
    </row>
    <row r="219" spans="1:15" ht="12.75" hidden="1">
      <c r="A219" s="189">
        <v>3</v>
      </c>
      <c r="B219" s="127"/>
      <c r="C219" s="189"/>
      <c r="D219" s="16">
        <v>542</v>
      </c>
      <c r="E219" s="16" t="s">
        <v>360</v>
      </c>
      <c r="F219" s="160" t="e">
        <f>compbasicovarios3*indicesep2010*porjubvarcar*frac3</f>
        <v>#NAME?</v>
      </c>
      <c r="G219" s="189"/>
      <c r="H219" s="16">
        <v>542</v>
      </c>
      <c r="I219" s="16" t="s">
        <v>360</v>
      </c>
      <c r="J219" s="160" t="e">
        <f>compbasicovarios3*indicemar2011*porjubvarcar*frac3</f>
        <v>#NAME?</v>
      </c>
      <c r="K219" s="189"/>
      <c r="L219" s="11"/>
      <c r="M219" s="11"/>
      <c r="N219" s="297"/>
      <c r="O219" s="189"/>
    </row>
    <row r="220" spans="1:15" ht="12.75" hidden="1">
      <c r="A220" s="189"/>
      <c r="B220" s="127"/>
      <c r="C220" s="189"/>
      <c r="D220" s="286"/>
      <c r="E220" s="286"/>
      <c r="F220" s="315"/>
      <c r="G220" s="189"/>
      <c r="H220" s="287" t="s">
        <v>372</v>
      </c>
      <c r="I220" s="288" t="s">
        <v>371</v>
      </c>
      <c r="J220" s="312" t="e">
        <f>adicdirvarios3*indicemar2011*porjubvarcar*frac3</f>
        <v>#REF!</v>
      </c>
      <c r="K220" s="189"/>
      <c r="L220" s="11"/>
      <c r="M220" s="11"/>
      <c r="N220" s="297"/>
      <c r="O220" s="189"/>
    </row>
    <row r="221" spans="1:14" ht="12.75" hidden="1">
      <c r="A221" s="189">
        <v>3</v>
      </c>
      <c r="B221" s="127"/>
      <c r="C221" s="189"/>
      <c r="D221" s="16">
        <v>404</v>
      </c>
      <c r="E221" s="16" t="s">
        <v>314</v>
      </c>
      <c r="F221" s="62" t="e">
        <f>puntardifvar3*indicesep2010*porjubvarcar*frac3</f>
        <v>#NAME?</v>
      </c>
      <c r="G221" s="189"/>
      <c r="H221" s="16">
        <v>404</v>
      </c>
      <c r="I221" s="16" t="s">
        <v>314</v>
      </c>
      <c r="J221" s="62" t="e">
        <f>puntardifvar3*indicemar2011*porjubvarcar*frac3</f>
        <v>#NAME?</v>
      </c>
      <c r="L221" s="11"/>
      <c r="M221" s="11"/>
      <c r="N221" s="297"/>
    </row>
    <row r="222" spans="1:14" ht="12.75" hidden="1">
      <c r="A222" s="189">
        <v>3</v>
      </c>
      <c r="B222" s="127"/>
      <c r="C222" s="189"/>
      <c r="D222" s="16">
        <v>406</v>
      </c>
      <c r="E222" s="16" t="s">
        <v>14</v>
      </c>
      <c r="F222" s="62" t="e">
        <f>(F218+F219+F221+F224)*F213</f>
        <v>#NAME?</v>
      </c>
      <c r="G222" s="189"/>
      <c r="H222" s="16">
        <v>406</v>
      </c>
      <c r="I222" s="16" t="s">
        <v>14</v>
      </c>
      <c r="J222" s="62" t="e">
        <f>(J218+J219+J221+J224)*F213</f>
        <v>#NAME?</v>
      </c>
      <c r="L222" s="11"/>
      <c r="M222" s="11"/>
      <c r="N222" s="297"/>
    </row>
    <row r="223" spans="1:14" ht="12.75" hidden="1">
      <c r="A223" s="189">
        <v>3</v>
      </c>
      <c r="B223" s="127"/>
      <c r="C223" s="189"/>
      <c r="D223" s="16">
        <v>408</v>
      </c>
      <c r="E223" s="16" t="s">
        <v>331</v>
      </c>
      <c r="F223" s="62" t="e">
        <f>(F218+F219+F221+F224)*E210</f>
        <v>#NAME?</v>
      </c>
      <c r="G223" s="189"/>
      <c r="H223" s="16">
        <v>408</v>
      </c>
      <c r="I223" s="16" t="s">
        <v>331</v>
      </c>
      <c r="J223" s="62" t="e">
        <f>(J218+J219+J221+J224)*E210</f>
        <v>#NAME?</v>
      </c>
      <c r="L223" s="11"/>
      <c r="M223" s="11"/>
      <c r="N223" s="297"/>
    </row>
    <row r="224" spans="1:14" ht="12.75" hidden="1">
      <c r="A224" s="189">
        <v>3</v>
      </c>
      <c r="B224" s="127"/>
      <c r="C224" s="189"/>
      <c r="D224" s="16">
        <v>416</v>
      </c>
      <c r="E224" s="63" t="s">
        <v>315</v>
      </c>
      <c r="F224" s="62" t="e">
        <f>puntosproljorvarios3*proljorsep2010*porjubvarcar*frac3</f>
        <v>#NAME?</v>
      </c>
      <c r="G224" s="189"/>
      <c r="H224" s="16">
        <v>416</v>
      </c>
      <c r="I224" s="63" t="s">
        <v>315</v>
      </c>
      <c r="J224" s="62" t="e">
        <f>puntosproljorvarios3*proljormar2011*porjubvarcar*frac3</f>
        <v>#NAME?</v>
      </c>
      <c r="L224" s="11"/>
      <c r="M224" s="311"/>
      <c r="N224" s="297"/>
    </row>
    <row r="225" spans="1:14" ht="12.75" hidden="1">
      <c r="A225" s="189">
        <v>3</v>
      </c>
      <c r="B225" s="127"/>
      <c r="C225" s="189"/>
      <c r="D225" s="16">
        <v>432</v>
      </c>
      <c r="E225" s="16" t="s">
        <v>329</v>
      </c>
      <c r="F225" s="62" t="e">
        <f>cod06feb11varios3*porjubvarcar*frac3</f>
        <v>#NAME?</v>
      </c>
      <c r="G225" s="189"/>
      <c r="H225" s="16">
        <v>432</v>
      </c>
      <c r="I225" s="16" t="s">
        <v>329</v>
      </c>
      <c r="J225" s="62" t="e">
        <f>cod06mar11varios3*porjubvarcar*frac3</f>
        <v>#NAME?</v>
      </c>
      <c r="L225" s="11"/>
      <c r="M225" s="11"/>
      <c r="N225" s="297"/>
    </row>
    <row r="226" spans="1:14" ht="12.75" hidden="1">
      <c r="A226" s="189">
        <v>3</v>
      </c>
      <c r="B226" s="127"/>
      <c r="C226" s="189"/>
      <c r="D226" s="16">
        <v>434</v>
      </c>
      <c r="E226" s="16" t="s">
        <v>313</v>
      </c>
      <c r="F226" s="62" t="e">
        <f>(F218+F219+F221+F222+F224+F225+F223)*0.07*0.95</f>
        <v>#NAME?</v>
      </c>
      <c r="G226" s="189"/>
      <c r="H226" s="16">
        <v>434</v>
      </c>
      <c r="I226" s="16" t="s">
        <v>313</v>
      </c>
      <c r="J226" s="62" t="e">
        <f>(J218+J219+J221+J222+J224+J225+J223)*0.07*0.95</f>
        <v>#NAME?</v>
      </c>
      <c r="L226" s="11"/>
      <c r="M226" s="11"/>
      <c r="N226" s="297"/>
    </row>
    <row r="227" spans="1:14" ht="12.75" hidden="1">
      <c r="A227" s="189">
        <v>3</v>
      </c>
      <c r="B227" s="127"/>
      <c r="C227" s="189"/>
      <c r="D227" s="16"/>
      <c r="E227" s="64"/>
      <c r="F227" s="110"/>
      <c r="G227" s="189"/>
      <c r="H227" s="16"/>
      <c r="I227" s="64"/>
      <c r="J227" s="110"/>
      <c r="L227" s="11"/>
      <c r="M227" s="11"/>
      <c r="N227" s="297"/>
    </row>
    <row r="228" spans="1:14" ht="13.5" hidden="1" thickBot="1">
      <c r="A228" s="189">
        <v>3</v>
      </c>
      <c r="B228" s="127"/>
      <c r="C228" s="189"/>
      <c r="D228" s="16"/>
      <c r="E228" s="64" t="s">
        <v>327</v>
      </c>
      <c r="F228" s="83">
        <v>0</v>
      </c>
      <c r="G228" s="189"/>
      <c r="H228" s="16"/>
      <c r="I228" s="64" t="s">
        <v>327</v>
      </c>
      <c r="J228" s="83">
        <v>0</v>
      </c>
      <c r="L228" s="11"/>
      <c r="M228" s="11"/>
      <c r="N228" s="307"/>
    </row>
    <row r="229" spans="1:14" ht="16.5" hidden="1" thickBot="1">
      <c r="A229" s="189">
        <v>3</v>
      </c>
      <c r="B229" s="127"/>
      <c r="C229" s="189"/>
      <c r="D229" s="65"/>
      <c r="E229" s="66" t="s">
        <v>15</v>
      </c>
      <c r="F229" s="67" t="e">
        <f>SUM(F218:F228)</f>
        <v>#NAME?</v>
      </c>
      <c r="G229" s="189"/>
      <c r="H229" s="65"/>
      <c r="I229" s="66" t="s">
        <v>15</v>
      </c>
      <c r="J229" s="67" t="e">
        <f>SUM(J218:J228)</f>
        <v>#NAME?</v>
      </c>
      <c r="L229" s="11"/>
      <c r="M229" s="48"/>
      <c r="N229" s="305"/>
    </row>
    <row r="230" spans="1:14" ht="12.75" hidden="1">
      <c r="A230" s="189">
        <v>3</v>
      </c>
      <c r="B230" s="127"/>
      <c r="C230" s="189"/>
      <c r="D230" s="16">
        <v>703</v>
      </c>
      <c r="E230" s="68" t="s">
        <v>316</v>
      </c>
      <c r="F230" s="69" t="e">
        <f>(F229-F228)*0.0025</f>
        <v>#NAME?</v>
      </c>
      <c r="G230" s="189"/>
      <c r="H230" s="16">
        <v>703</v>
      </c>
      <c r="I230" s="68" t="s">
        <v>316</v>
      </c>
      <c r="J230" s="69" t="e">
        <f>(J229-J228)*0.0025</f>
        <v>#NAME?</v>
      </c>
      <c r="L230" s="11"/>
      <c r="M230" s="300"/>
      <c r="N230" s="301"/>
    </row>
    <row r="231" spans="1:14" ht="12.75" hidden="1">
      <c r="A231" s="189">
        <v>3</v>
      </c>
      <c r="B231" s="127"/>
      <c r="C231" s="189"/>
      <c r="D231" s="17">
        <v>707</v>
      </c>
      <c r="E231" s="70" t="s">
        <v>17</v>
      </c>
      <c r="F231" s="15" t="e">
        <f>(F229-F228)*0.03</f>
        <v>#NAME?</v>
      </c>
      <c r="G231" s="189"/>
      <c r="H231" s="17">
        <v>707</v>
      </c>
      <c r="I231" s="70" t="s">
        <v>17</v>
      </c>
      <c r="J231" s="15" t="e">
        <f>(J229-J228)*0.03</f>
        <v>#NAME?</v>
      </c>
      <c r="L231" s="11"/>
      <c r="M231" s="294"/>
      <c r="N231" s="301"/>
    </row>
    <row r="232" spans="1:14" ht="12.75" hidden="1">
      <c r="A232" s="189">
        <v>3</v>
      </c>
      <c r="B232" s="127"/>
      <c r="C232" s="189"/>
      <c r="D232" s="17">
        <v>709</v>
      </c>
      <c r="E232" s="70" t="s">
        <v>18</v>
      </c>
      <c r="F232" s="15" t="e">
        <f>(F229-F228)*0.0213</f>
        <v>#NAME?</v>
      </c>
      <c r="G232" s="189"/>
      <c r="H232" s="17">
        <v>709</v>
      </c>
      <c r="I232" s="70" t="s">
        <v>18</v>
      </c>
      <c r="J232" s="15" t="e">
        <f>(J229-J228)*0.0213</f>
        <v>#NAME?</v>
      </c>
      <c r="L232" s="11"/>
      <c r="M232" s="294"/>
      <c r="N232" s="301"/>
    </row>
    <row r="233" spans="1:14" ht="12.75" hidden="1">
      <c r="A233" s="189">
        <v>3</v>
      </c>
      <c r="B233" s="127"/>
      <c r="C233" s="189"/>
      <c r="D233" s="14">
        <v>710</v>
      </c>
      <c r="E233" s="70" t="s">
        <v>19</v>
      </c>
      <c r="F233" s="15" t="e">
        <f>(F229-F228)*0.00754</f>
        <v>#NAME?</v>
      </c>
      <c r="G233" s="189"/>
      <c r="H233" s="14">
        <v>710</v>
      </c>
      <c r="I233" s="70" t="s">
        <v>19</v>
      </c>
      <c r="J233" s="15" t="e">
        <f>(J229-J228)*0.00754</f>
        <v>#NAME?</v>
      </c>
      <c r="L233" s="294"/>
      <c r="M233" s="294"/>
      <c r="N233" s="301"/>
    </row>
    <row r="234" spans="1:14" ht="12.75" hidden="1">
      <c r="A234" s="189">
        <v>3</v>
      </c>
      <c r="B234" s="127"/>
      <c r="C234" s="189"/>
      <c r="D234" s="14">
        <v>713</v>
      </c>
      <c r="E234" s="70" t="s">
        <v>20</v>
      </c>
      <c r="F234" s="15" t="e">
        <f>(F229-F228)*0.007</f>
        <v>#NAME?</v>
      </c>
      <c r="G234" s="189"/>
      <c r="H234" s="14">
        <v>713</v>
      </c>
      <c r="I234" s="70" t="s">
        <v>20</v>
      </c>
      <c r="J234" s="15" t="e">
        <f>(J229-J228)*0.007</f>
        <v>#NAME?</v>
      </c>
      <c r="L234" s="294"/>
      <c r="M234" s="294"/>
      <c r="N234" s="301"/>
    </row>
    <row r="235" spans="1:14" ht="13.5" hidden="1" thickBot="1">
      <c r="A235" s="189">
        <v>3</v>
      </c>
      <c r="B235" s="127"/>
      <c r="C235" s="189"/>
      <c r="D235" s="14"/>
      <c r="E235" s="71" t="s">
        <v>21</v>
      </c>
      <c r="F235" s="39">
        <v>0</v>
      </c>
      <c r="G235" s="189"/>
      <c r="H235" s="14"/>
      <c r="I235" s="71" t="s">
        <v>21</v>
      </c>
      <c r="J235" s="39">
        <v>0</v>
      </c>
      <c r="L235" s="294"/>
      <c r="M235" s="294"/>
      <c r="N235" s="308"/>
    </row>
    <row r="236" spans="1:14" ht="16.5" hidden="1" thickBot="1">
      <c r="A236" s="189">
        <v>3</v>
      </c>
      <c r="B236" s="127"/>
      <c r="C236" s="189"/>
      <c r="D236" s="72"/>
      <c r="E236" s="66" t="s">
        <v>22</v>
      </c>
      <c r="F236" s="67" t="e">
        <f>SUM(F230:F235)</f>
        <v>#NAME?</v>
      </c>
      <c r="G236" s="189"/>
      <c r="H236" s="72"/>
      <c r="I236" s="66" t="s">
        <v>22</v>
      </c>
      <c r="J236" s="67" t="e">
        <f>SUM(J230:J235)</f>
        <v>#NAME?</v>
      </c>
      <c r="L236" s="11"/>
      <c r="M236" s="48"/>
      <c r="N236" s="305"/>
    </row>
    <row r="237" spans="1:14" ht="13.5" hidden="1" thickBot="1">
      <c r="A237" s="189">
        <v>3</v>
      </c>
      <c r="B237" s="127"/>
      <c r="C237" s="189"/>
      <c r="D237" s="73"/>
      <c r="E237" s="74"/>
      <c r="F237" s="75"/>
      <c r="G237" s="189"/>
      <c r="H237" s="73"/>
      <c r="I237" s="74"/>
      <c r="J237" s="75"/>
      <c r="L237" s="48"/>
      <c r="M237" s="11"/>
      <c r="N237" s="309"/>
    </row>
    <row r="238" spans="1:14" ht="16.5" hidden="1" thickBot="1">
      <c r="A238" s="189">
        <v>3</v>
      </c>
      <c r="B238" s="43"/>
      <c r="C238" s="189"/>
      <c r="D238" s="76"/>
      <c r="E238" s="77" t="s">
        <v>23</v>
      </c>
      <c r="F238" s="78" t="e">
        <f>F229-F236</f>
        <v>#NAME?</v>
      </c>
      <c r="G238" s="189"/>
      <c r="H238" s="76"/>
      <c r="I238" s="77" t="s">
        <v>23</v>
      </c>
      <c r="J238" s="78" t="e">
        <f>J229-J236</f>
        <v>#NAME?</v>
      </c>
      <c r="L238" s="170"/>
      <c r="M238" s="304"/>
      <c r="N238" s="310"/>
    </row>
    <row r="239" spans="1:7" s="166" customFormat="1" ht="12.75" hidden="1">
      <c r="A239" s="189">
        <v>3</v>
      </c>
      <c r="B239" s="127"/>
      <c r="C239" s="192"/>
      <c r="G239" s="198"/>
    </row>
    <row r="240" spans="1:17" ht="15.75" hidden="1">
      <c r="A240" s="189">
        <v>3</v>
      </c>
      <c r="B240" s="43"/>
      <c r="C240" s="43"/>
      <c r="D240" s="4"/>
      <c r="E240" s="143"/>
      <c r="F240" s="145"/>
      <c r="G240" s="10"/>
      <c r="H240" s="4"/>
      <c r="I240" s="143"/>
      <c r="J240" s="145"/>
      <c r="L240" s="4"/>
      <c r="M240" s="143"/>
      <c r="N240" s="145"/>
      <c r="Q240" s="189"/>
    </row>
    <row r="241" spans="1:17" ht="15.75" hidden="1">
      <c r="A241" s="189">
        <v>3</v>
      </c>
      <c r="B241" s="43"/>
      <c r="C241" s="43"/>
      <c r="D241" s="193"/>
      <c r="E241" s="194"/>
      <c r="F241" s="195"/>
      <c r="G241" s="43"/>
      <c r="H241" s="193"/>
      <c r="I241" s="194"/>
      <c r="J241" s="195"/>
      <c r="K241" s="189"/>
      <c r="L241" s="189"/>
      <c r="M241" s="189"/>
      <c r="N241" s="189"/>
      <c r="O241" s="189"/>
      <c r="P241" s="161"/>
      <c r="Q241" s="161"/>
    </row>
    <row r="242" spans="1:17" ht="15.75" hidden="1">
      <c r="A242" s="189">
        <v>3</v>
      </c>
      <c r="B242" s="43"/>
      <c r="C242" s="43"/>
      <c r="D242" s="193"/>
      <c r="E242" s="194"/>
      <c r="F242" s="195"/>
      <c r="G242" s="43"/>
      <c r="H242" s="193"/>
      <c r="I242" s="194"/>
      <c r="J242" s="196"/>
      <c r="K242" s="189"/>
      <c r="L242" s="189"/>
      <c r="M242" s="189"/>
      <c r="N242" s="189"/>
      <c r="O242" s="189"/>
      <c r="P242" s="161"/>
      <c r="Q242" s="161"/>
    </row>
    <row r="243" ht="12.75" hidden="1"/>
    <row r="244" s="166" customFormat="1" ht="12.75" hidden="1"/>
    <row r="245" spans="1:20" ht="16.5" hidden="1" thickBot="1">
      <c r="A245" s="166">
        <v>4</v>
      </c>
      <c r="F245" t="s">
        <v>345</v>
      </c>
      <c r="G245" s="10" t="s">
        <v>347</v>
      </c>
      <c r="H245" s="10" t="s">
        <v>348</v>
      </c>
      <c r="I245" s="94" t="s">
        <v>349</v>
      </c>
      <c r="J245" s="94" t="s">
        <v>350</v>
      </c>
      <c r="K245" s="94" t="s">
        <v>351</v>
      </c>
      <c r="L245" s="94" t="s">
        <v>352</v>
      </c>
      <c r="M245" s="94" t="s">
        <v>353</v>
      </c>
      <c r="N245" s="94" t="s">
        <v>354</v>
      </c>
      <c r="O245" s="96" t="s">
        <v>355</v>
      </c>
      <c r="P245" s="96">
        <v>1</v>
      </c>
      <c r="Q245" s="96">
        <v>2</v>
      </c>
      <c r="R245" s="96">
        <v>3</v>
      </c>
      <c r="S245" s="96">
        <v>4</v>
      </c>
      <c r="T245" s="96">
        <v>5</v>
      </c>
    </row>
    <row r="246" spans="1:20" ht="15.75" hidden="1">
      <c r="A246" s="166">
        <v>4</v>
      </c>
      <c r="E246" s="87">
        <v>0</v>
      </c>
      <c r="F246" s="261" t="e">
        <f aca="true" t="shared" si="42" ref="F246:F257">IF(puntosproljorvarios4&lt;620,T246,O246)</f>
        <v>#NAME?</v>
      </c>
      <c r="G246" s="257">
        <v>409</v>
      </c>
      <c r="H246" s="257">
        <v>99</v>
      </c>
      <c r="I246" s="257">
        <v>0</v>
      </c>
      <c r="J246" s="257">
        <v>0</v>
      </c>
      <c r="K246" s="257">
        <v>0</v>
      </c>
      <c r="L246" s="257">
        <v>0</v>
      </c>
      <c r="M246" s="257">
        <v>99</v>
      </c>
      <c r="N246" s="257">
        <v>99</v>
      </c>
      <c r="O246" s="97">
        <f aca="true" t="shared" si="43" ref="O246:O257">IF(punbasjubvarios4&gt;971,N246,M246)</f>
        <v>99</v>
      </c>
      <c r="P246" s="97">
        <f aca="true" t="shared" si="44" ref="P246:P257">IF(punbasjubvarios4&lt;972,G246,H246)</f>
        <v>99</v>
      </c>
      <c r="Q246" s="97">
        <f aca="true" t="shared" si="45" ref="Q246:Q257">IF(punbasjubvarios4&lt;1170,P246,I246)</f>
        <v>0</v>
      </c>
      <c r="R246" s="97">
        <f aca="true" t="shared" si="46" ref="R246:R257">IF(punbasjubvarios4&lt;1401,Q246,J246)</f>
        <v>0</v>
      </c>
      <c r="S246" s="97">
        <f aca="true" t="shared" si="47" ref="S246:S257">IF(punbasjubvarios4&lt;1943,R246,K246)</f>
        <v>0</v>
      </c>
      <c r="T246" s="97">
        <f aca="true" t="shared" si="48" ref="T246:T257">IF(punbasjubvarios4&lt;=2220,S246,L246)</f>
        <v>0</v>
      </c>
    </row>
    <row r="247" spans="1:20" ht="15.75" hidden="1">
      <c r="A247" s="166">
        <v>4</v>
      </c>
      <c r="E247" s="88">
        <v>0.1</v>
      </c>
      <c r="F247" s="261" t="e">
        <f t="shared" si="42"/>
        <v>#NAME?</v>
      </c>
      <c r="G247" s="257">
        <v>581</v>
      </c>
      <c r="H247" s="257">
        <v>112</v>
      </c>
      <c r="I247" s="257">
        <v>0</v>
      </c>
      <c r="J247" s="257">
        <v>0</v>
      </c>
      <c r="K247" s="257">
        <v>0</v>
      </c>
      <c r="L247" s="257">
        <v>0</v>
      </c>
      <c r="M247" s="257">
        <v>112</v>
      </c>
      <c r="N247" s="257">
        <v>112</v>
      </c>
      <c r="O247" s="97">
        <f t="shared" si="43"/>
        <v>112</v>
      </c>
      <c r="P247" s="97">
        <f t="shared" si="44"/>
        <v>112</v>
      </c>
      <c r="Q247" s="97">
        <f t="shared" si="45"/>
        <v>0</v>
      </c>
      <c r="R247" s="97">
        <f t="shared" si="46"/>
        <v>0</v>
      </c>
      <c r="S247" s="97">
        <f t="shared" si="47"/>
        <v>0</v>
      </c>
      <c r="T247" s="97">
        <f t="shared" si="48"/>
        <v>0</v>
      </c>
    </row>
    <row r="248" spans="1:20" ht="15.75" hidden="1">
      <c r="A248" s="166">
        <v>4</v>
      </c>
      <c r="E248" s="89">
        <v>0.15</v>
      </c>
      <c r="F248" s="261" t="e">
        <f t="shared" si="42"/>
        <v>#NAME?</v>
      </c>
      <c r="G248" s="257">
        <v>705</v>
      </c>
      <c r="H248" s="257">
        <v>224</v>
      </c>
      <c r="I248" s="257">
        <v>298</v>
      </c>
      <c r="J248" s="257">
        <v>240</v>
      </c>
      <c r="K248" s="257">
        <v>224</v>
      </c>
      <c r="L248" s="257">
        <v>0</v>
      </c>
      <c r="M248" s="257">
        <v>273</v>
      </c>
      <c r="N248" s="257">
        <v>273</v>
      </c>
      <c r="O248" s="97">
        <f t="shared" si="43"/>
        <v>273</v>
      </c>
      <c r="P248" s="97">
        <f t="shared" si="44"/>
        <v>224</v>
      </c>
      <c r="Q248" s="97">
        <f t="shared" si="45"/>
        <v>298</v>
      </c>
      <c r="R248" s="97">
        <f t="shared" si="46"/>
        <v>240</v>
      </c>
      <c r="S248" s="97">
        <f t="shared" si="47"/>
        <v>240</v>
      </c>
      <c r="T248" s="97">
        <f t="shared" si="48"/>
        <v>240</v>
      </c>
    </row>
    <row r="249" spans="1:20" ht="15.75" hidden="1">
      <c r="A249" s="166">
        <v>4</v>
      </c>
      <c r="E249" s="89">
        <v>0.3</v>
      </c>
      <c r="F249" s="261" t="e">
        <f t="shared" si="42"/>
        <v>#NAME?</v>
      </c>
      <c r="G249" s="257">
        <v>733</v>
      </c>
      <c r="H249" s="257">
        <v>242</v>
      </c>
      <c r="I249" s="257">
        <v>298</v>
      </c>
      <c r="J249" s="257">
        <v>240</v>
      </c>
      <c r="K249" s="257">
        <v>224</v>
      </c>
      <c r="L249" s="257">
        <v>0</v>
      </c>
      <c r="M249" s="257">
        <v>472</v>
      </c>
      <c r="N249" s="257">
        <v>435</v>
      </c>
      <c r="O249" s="97">
        <f t="shared" si="43"/>
        <v>435</v>
      </c>
      <c r="P249" s="97">
        <f t="shared" si="44"/>
        <v>242</v>
      </c>
      <c r="Q249" s="97">
        <f t="shared" si="45"/>
        <v>298</v>
      </c>
      <c r="R249" s="97">
        <f t="shared" si="46"/>
        <v>240</v>
      </c>
      <c r="S249" s="97">
        <f t="shared" si="47"/>
        <v>240</v>
      </c>
      <c r="T249" s="97">
        <f t="shared" si="48"/>
        <v>240</v>
      </c>
    </row>
    <row r="250" spans="1:20" ht="15.75" hidden="1">
      <c r="A250" s="166">
        <v>4</v>
      </c>
      <c r="E250" s="89">
        <v>0.4</v>
      </c>
      <c r="F250" s="261" t="e">
        <f t="shared" si="42"/>
        <v>#NAME?</v>
      </c>
      <c r="G250" s="257">
        <v>796</v>
      </c>
      <c r="H250" s="257">
        <v>261</v>
      </c>
      <c r="I250" s="257">
        <v>311</v>
      </c>
      <c r="J250" s="257">
        <v>248</v>
      </c>
      <c r="K250" s="257">
        <v>224</v>
      </c>
      <c r="L250" s="257">
        <v>174</v>
      </c>
      <c r="M250" s="257">
        <v>546</v>
      </c>
      <c r="N250" s="257">
        <v>497</v>
      </c>
      <c r="O250" s="97">
        <f t="shared" si="43"/>
        <v>497</v>
      </c>
      <c r="P250" s="97">
        <f t="shared" si="44"/>
        <v>261</v>
      </c>
      <c r="Q250" s="97">
        <f t="shared" si="45"/>
        <v>311</v>
      </c>
      <c r="R250" s="97">
        <f t="shared" si="46"/>
        <v>248</v>
      </c>
      <c r="S250" s="97">
        <f t="shared" si="47"/>
        <v>248</v>
      </c>
      <c r="T250" s="97">
        <f t="shared" si="48"/>
        <v>248</v>
      </c>
    </row>
    <row r="251" spans="1:20" ht="15.75" hidden="1">
      <c r="A251" s="166">
        <v>4</v>
      </c>
      <c r="E251" s="89">
        <v>0.5</v>
      </c>
      <c r="F251" s="261" t="e">
        <f t="shared" si="42"/>
        <v>#NAME?</v>
      </c>
      <c r="G251" s="257">
        <v>575</v>
      </c>
      <c r="H251" s="257">
        <v>286</v>
      </c>
      <c r="I251" s="257">
        <v>311</v>
      </c>
      <c r="J251" s="257">
        <v>248</v>
      </c>
      <c r="K251" s="257">
        <v>224</v>
      </c>
      <c r="L251" s="257">
        <v>174</v>
      </c>
      <c r="M251" s="257">
        <v>590</v>
      </c>
      <c r="N251" s="257">
        <v>540</v>
      </c>
      <c r="O251" s="97">
        <f t="shared" si="43"/>
        <v>540</v>
      </c>
      <c r="P251" s="97">
        <f t="shared" si="44"/>
        <v>286</v>
      </c>
      <c r="Q251" s="97">
        <f t="shared" si="45"/>
        <v>311</v>
      </c>
      <c r="R251" s="97">
        <f t="shared" si="46"/>
        <v>248</v>
      </c>
      <c r="S251" s="97">
        <f t="shared" si="47"/>
        <v>248</v>
      </c>
      <c r="T251" s="97">
        <f t="shared" si="48"/>
        <v>248</v>
      </c>
    </row>
    <row r="252" spans="1:20" ht="15.75" hidden="1">
      <c r="A252" s="166">
        <v>4</v>
      </c>
      <c r="E252" s="89">
        <v>0.6</v>
      </c>
      <c r="F252" s="261" t="e">
        <f t="shared" si="42"/>
        <v>#NAME?</v>
      </c>
      <c r="G252" s="257">
        <v>578</v>
      </c>
      <c r="H252" s="257">
        <v>323</v>
      </c>
      <c r="I252" s="257">
        <v>323</v>
      </c>
      <c r="J252" s="257">
        <v>252</v>
      </c>
      <c r="K252" s="257">
        <v>236</v>
      </c>
      <c r="L252" s="257">
        <v>199</v>
      </c>
      <c r="M252" s="257">
        <v>633</v>
      </c>
      <c r="N252" s="257">
        <v>559</v>
      </c>
      <c r="O252" s="97">
        <f t="shared" si="43"/>
        <v>559</v>
      </c>
      <c r="P252" s="97">
        <f t="shared" si="44"/>
        <v>323</v>
      </c>
      <c r="Q252" s="97">
        <f t="shared" si="45"/>
        <v>323</v>
      </c>
      <c r="R252" s="97">
        <f t="shared" si="46"/>
        <v>252</v>
      </c>
      <c r="S252" s="97">
        <f t="shared" si="47"/>
        <v>252</v>
      </c>
      <c r="T252" s="97">
        <f t="shared" si="48"/>
        <v>252</v>
      </c>
    </row>
    <row r="253" spans="1:20" ht="15.75" hidden="1">
      <c r="A253" s="166">
        <v>4</v>
      </c>
      <c r="E253" s="89">
        <v>0.7</v>
      </c>
      <c r="F253" s="261" t="e">
        <f t="shared" si="42"/>
        <v>#NAME?</v>
      </c>
      <c r="G253" s="257">
        <v>553</v>
      </c>
      <c r="H253" s="257">
        <v>354</v>
      </c>
      <c r="I253" s="257">
        <v>453</v>
      </c>
      <c r="J253" s="257">
        <v>286</v>
      </c>
      <c r="K253" s="257">
        <v>236</v>
      </c>
      <c r="L253" s="257">
        <v>199</v>
      </c>
      <c r="M253" s="257">
        <v>652</v>
      </c>
      <c r="N253" s="257">
        <v>578</v>
      </c>
      <c r="O253" s="97">
        <f t="shared" si="43"/>
        <v>578</v>
      </c>
      <c r="P253" s="97">
        <f t="shared" si="44"/>
        <v>354</v>
      </c>
      <c r="Q253" s="97">
        <f t="shared" si="45"/>
        <v>453</v>
      </c>
      <c r="R253" s="97">
        <f t="shared" si="46"/>
        <v>286</v>
      </c>
      <c r="S253" s="97">
        <f t="shared" si="47"/>
        <v>286</v>
      </c>
      <c r="T253" s="97">
        <f t="shared" si="48"/>
        <v>286</v>
      </c>
    </row>
    <row r="254" spans="1:20" ht="15.75" hidden="1">
      <c r="A254" s="166">
        <v>4</v>
      </c>
      <c r="E254" s="89">
        <v>0.8</v>
      </c>
      <c r="F254" s="261" t="e">
        <f t="shared" si="42"/>
        <v>#NAME?</v>
      </c>
      <c r="G254" s="257">
        <v>664</v>
      </c>
      <c r="H254" s="257">
        <v>428</v>
      </c>
      <c r="I254" s="257">
        <v>491</v>
      </c>
      <c r="J254" s="257">
        <v>422</v>
      </c>
      <c r="K254" s="257">
        <v>348</v>
      </c>
      <c r="L254" s="257">
        <v>224</v>
      </c>
      <c r="M254" s="257">
        <v>689</v>
      </c>
      <c r="N254" s="257">
        <v>590</v>
      </c>
      <c r="O254" s="97">
        <f t="shared" si="43"/>
        <v>590</v>
      </c>
      <c r="P254" s="97">
        <f t="shared" si="44"/>
        <v>428</v>
      </c>
      <c r="Q254" s="97">
        <f t="shared" si="45"/>
        <v>491</v>
      </c>
      <c r="R254" s="97">
        <f t="shared" si="46"/>
        <v>422</v>
      </c>
      <c r="S254" s="97">
        <f t="shared" si="47"/>
        <v>422</v>
      </c>
      <c r="T254" s="97">
        <f t="shared" si="48"/>
        <v>422</v>
      </c>
    </row>
    <row r="255" spans="1:20" ht="15.75" hidden="1">
      <c r="A255" s="166">
        <v>4</v>
      </c>
      <c r="E255" s="89">
        <v>1</v>
      </c>
      <c r="F255" s="261" t="e">
        <f t="shared" si="42"/>
        <v>#NAME?</v>
      </c>
      <c r="G255" s="257">
        <v>826</v>
      </c>
      <c r="H255" s="257">
        <v>540</v>
      </c>
      <c r="I255" s="257">
        <v>509</v>
      </c>
      <c r="J255" s="257">
        <v>410</v>
      </c>
      <c r="K255" s="257">
        <v>385</v>
      </c>
      <c r="L255" s="257">
        <v>224</v>
      </c>
      <c r="M255" s="257">
        <v>733</v>
      </c>
      <c r="N255" s="257">
        <v>609</v>
      </c>
      <c r="O255" s="97">
        <f t="shared" si="43"/>
        <v>609</v>
      </c>
      <c r="P255" s="97">
        <f t="shared" si="44"/>
        <v>540</v>
      </c>
      <c r="Q255" s="97">
        <f t="shared" si="45"/>
        <v>509</v>
      </c>
      <c r="R255" s="97">
        <f t="shared" si="46"/>
        <v>410</v>
      </c>
      <c r="S255" s="97">
        <f t="shared" si="47"/>
        <v>410</v>
      </c>
      <c r="T255" s="97">
        <f t="shared" si="48"/>
        <v>410</v>
      </c>
    </row>
    <row r="256" spans="1:20" ht="15.75" hidden="1">
      <c r="A256" s="166">
        <v>4</v>
      </c>
      <c r="E256" s="89">
        <v>1.1</v>
      </c>
      <c r="F256" s="261" t="e">
        <f t="shared" si="42"/>
        <v>#NAME?</v>
      </c>
      <c r="G256" s="257">
        <v>925</v>
      </c>
      <c r="H256" s="257">
        <v>615</v>
      </c>
      <c r="I256" s="257">
        <v>534</v>
      </c>
      <c r="J256" s="257">
        <v>410</v>
      </c>
      <c r="K256" s="257">
        <v>397</v>
      </c>
      <c r="L256" s="257">
        <v>236</v>
      </c>
      <c r="M256" s="257">
        <v>764</v>
      </c>
      <c r="N256" s="257">
        <v>627</v>
      </c>
      <c r="O256" s="97">
        <f t="shared" si="43"/>
        <v>627</v>
      </c>
      <c r="P256" s="97">
        <f t="shared" si="44"/>
        <v>615</v>
      </c>
      <c r="Q256" s="97">
        <f t="shared" si="45"/>
        <v>534</v>
      </c>
      <c r="R256" s="97">
        <f t="shared" si="46"/>
        <v>410</v>
      </c>
      <c r="S256" s="97">
        <f t="shared" si="47"/>
        <v>410</v>
      </c>
      <c r="T256" s="97">
        <f t="shared" si="48"/>
        <v>410</v>
      </c>
    </row>
    <row r="257" spans="1:20" ht="16.5" hidden="1" thickBot="1">
      <c r="A257" s="166">
        <v>4</v>
      </c>
      <c r="E257" s="90">
        <v>1.2</v>
      </c>
      <c r="F257" s="261" t="e">
        <f t="shared" si="42"/>
        <v>#NAME?</v>
      </c>
      <c r="G257" s="257">
        <v>956</v>
      </c>
      <c r="H257" s="257">
        <v>633</v>
      </c>
      <c r="I257" s="257">
        <v>596</v>
      </c>
      <c r="J257" s="257">
        <v>416</v>
      </c>
      <c r="K257" s="257">
        <v>410</v>
      </c>
      <c r="L257" s="257">
        <v>236</v>
      </c>
      <c r="M257" s="257">
        <v>770</v>
      </c>
      <c r="N257" s="257">
        <v>633</v>
      </c>
      <c r="O257" s="97">
        <f t="shared" si="43"/>
        <v>633</v>
      </c>
      <c r="P257" s="97">
        <f t="shared" si="44"/>
        <v>633</v>
      </c>
      <c r="Q257" s="97">
        <f t="shared" si="45"/>
        <v>596</v>
      </c>
      <c r="R257" s="97">
        <f t="shared" si="46"/>
        <v>416</v>
      </c>
      <c r="S257" s="97">
        <f t="shared" si="47"/>
        <v>416</v>
      </c>
      <c r="T257" s="97">
        <f t="shared" si="48"/>
        <v>416</v>
      </c>
    </row>
    <row r="258" spans="1:20" s="161" customFormat="1" ht="15.75" hidden="1">
      <c r="A258" s="166">
        <v>4</v>
      </c>
      <c r="E258" s="162"/>
      <c r="F258" s="104"/>
      <c r="G258" s="104"/>
      <c r="H258" s="163"/>
      <c r="I258" s="164"/>
      <c r="J258" s="164"/>
      <c r="K258" s="104"/>
      <c r="L258" s="11"/>
      <c r="M258" s="95"/>
      <c r="N258" s="95"/>
      <c r="O258" s="95"/>
      <c r="P258" s="95"/>
      <c r="Q258" s="95"/>
      <c r="R258" s="95"/>
      <c r="S258" s="95"/>
      <c r="T258" s="95"/>
    </row>
    <row r="259" spans="1:20" s="161" customFormat="1" ht="15.75" hidden="1">
      <c r="A259" s="166">
        <v>4</v>
      </c>
      <c r="E259" s="162"/>
      <c r="F259" s="104" t="s">
        <v>381</v>
      </c>
      <c r="G259" s="104" t="e">
        <f>LOOKUP(F292,porantvar4,cod06cargosvar4feb11)</f>
        <v>#NAME?</v>
      </c>
      <c r="H259" s="163"/>
      <c r="I259" s="164"/>
      <c r="J259" s="164"/>
      <c r="K259" s="104"/>
      <c r="L259" s="11"/>
      <c r="M259" s="95"/>
      <c r="N259" s="95"/>
      <c r="O259" s="95"/>
      <c r="P259" s="95"/>
      <c r="Q259" s="95"/>
      <c r="R259" s="95"/>
      <c r="S259" s="95"/>
      <c r="T259" s="95"/>
    </row>
    <row r="260" spans="1:20" s="161" customFormat="1" ht="15.75" hidden="1">
      <c r="A260" s="166"/>
      <c r="E260" s="162"/>
      <c r="F260" s="104"/>
      <c r="G260" s="104"/>
      <c r="H260" s="163"/>
      <c r="I260" s="164"/>
      <c r="J260" s="164"/>
      <c r="K260" s="104"/>
      <c r="L260" s="11"/>
      <c r="M260" s="95"/>
      <c r="N260" s="95"/>
      <c r="O260" s="95"/>
      <c r="P260" s="95"/>
      <c r="Q260" s="95"/>
      <c r="R260" s="95"/>
      <c r="S260" s="95"/>
      <c r="T260" s="95"/>
    </row>
    <row r="261" spans="1:20" ht="16.5" hidden="1" thickBot="1">
      <c r="A261" s="166">
        <v>4</v>
      </c>
      <c r="F261" t="s">
        <v>345</v>
      </c>
      <c r="G261" s="10" t="s">
        <v>347</v>
      </c>
      <c r="H261" s="10" t="s">
        <v>348</v>
      </c>
      <c r="I261" s="94" t="s">
        <v>349</v>
      </c>
      <c r="J261" s="94" t="s">
        <v>350</v>
      </c>
      <c r="K261" s="94" t="s">
        <v>351</v>
      </c>
      <c r="L261" s="94" t="s">
        <v>352</v>
      </c>
      <c r="M261" s="94" t="s">
        <v>353</v>
      </c>
      <c r="N261" s="94" t="s">
        <v>354</v>
      </c>
      <c r="O261" s="96" t="s">
        <v>355</v>
      </c>
      <c r="P261" s="96">
        <v>1</v>
      </c>
      <c r="Q261" s="96">
        <v>2</v>
      </c>
      <c r="R261" s="96">
        <v>3</v>
      </c>
      <c r="S261" s="96">
        <v>4</v>
      </c>
      <c r="T261" s="96">
        <v>5</v>
      </c>
    </row>
    <row r="262" spans="1:20" ht="15.75" hidden="1">
      <c r="A262" s="166">
        <v>4</v>
      </c>
      <c r="E262" s="87">
        <v>0</v>
      </c>
      <c r="F262" s="261" t="e">
        <f aca="true" t="shared" si="49" ref="F262:F273">IF(puntosproljorvarios4&lt;620,T262,O262)</f>
        <v>#NAME?</v>
      </c>
      <c r="G262" s="10">
        <v>499</v>
      </c>
      <c r="H262" s="10">
        <v>121</v>
      </c>
      <c r="I262" s="10">
        <v>0</v>
      </c>
      <c r="J262" s="10">
        <v>0</v>
      </c>
      <c r="K262" s="10">
        <v>0</v>
      </c>
      <c r="L262" s="10">
        <v>0</v>
      </c>
      <c r="M262" s="10">
        <v>121</v>
      </c>
      <c r="N262" s="10">
        <v>121</v>
      </c>
      <c r="O262" s="97">
        <f aca="true" t="shared" si="50" ref="O262:O273">IF(punbasjubvarios4&gt;971,N262,M262)</f>
        <v>121</v>
      </c>
      <c r="P262" s="97">
        <f aca="true" t="shared" si="51" ref="P262:P273">IF(punbasjubvarios4&lt;972,G262,H262)</f>
        <v>121</v>
      </c>
      <c r="Q262" s="97">
        <f aca="true" t="shared" si="52" ref="Q262:Q273">IF(punbasjubvarios4&lt;1170,P262,I262)</f>
        <v>0</v>
      </c>
      <c r="R262" s="97">
        <f aca="true" t="shared" si="53" ref="R262:R273">IF(punbasjubvarios4&lt;1401,Q262,J262)</f>
        <v>0</v>
      </c>
      <c r="S262" s="97">
        <f aca="true" t="shared" si="54" ref="S262:S273">IF(punbasjubvarios4&lt;1943,R262,K262)</f>
        <v>0</v>
      </c>
      <c r="T262" s="97">
        <f aca="true" t="shared" si="55" ref="T262:T273">IF(punbasjubvarios4&lt;=2220,S262,L262)</f>
        <v>0</v>
      </c>
    </row>
    <row r="263" spans="1:20" ht="15.75" hidden="1">
      <c r="A263" s="166">
        <v>4</v>
      </c>
      <c r="E263" s="88">
        <v>0.1</v>
      </c>
      <c r="F263" s="261" t="e">
        <f t="shared" si="49"/>
        <v>#NAME?</v>
      </c>
      <c r="G263" s="10">
        <v>709</v>
      </c>
      <c r="H263" s="10">
        <v>137</v>
      </c>
      <c r="I263" s="10">
        <v>0</v>
      </c>
      <c r="J263" s="10">
        <v>0</v>
      </c>
      <c r="K263" s="10">
        <v>0</v>
      </c>
      <c r="L263" s="10">
        <v>0</v>
      </c>
      <c r="M263" s="10">
        <v>137</v>
      </c>
      <c r="N263" s="10">
        <v>137</v>
      </c>
      <c r="O263" s="97">
        <f t="shared" si="50"/>
        <v>137</v>
      </c>
      <c r="P263" s="97">
        <f t="shared" si="51"/>
        <v>137</v>
      </c>
      <c r="Q263" s="97">
        <f t="shared" si="52"/>
        <v>0</v>
      </c>
      <c r="R263" s="97">
        <f t="shared" si="53"/>
        <v>0</v>
      </c>
      <c r="S263" s="97">
        <f t="shared" si="54"/>
        <v>0</v>
      </c>
      <c r="T263" s="97">
        <f t="shared" si="55"/>
        <v>0</v>
      </c>
    </row>
    <row r="264" spans="1:20" ht="15.75" hidden="1">
      <c r="A264" s="166">
        <v>4</v>
      </c>
      <c r="E264" s="89">
        <v>0.15</v>
      </c>
      <c r="F264" s="261" t="e">
        <f t="shared" si="49"/>
        <v>#NAME?</v>
      </c>
      <c r="G264" s="10">
        <v>860</v>
      </c>
      <c r="H264" s="10">
        <v>273</v>
      </c>
      <c r="I264" s="10">
        <v>364</v>
      </c>
      <c r="J264" s="10">
        <v>293</v>
      </c>
      <c r="K264" s="10">
        <v>273</v>
      </c>
      <c r="L264" s="10">
        <v>0</v>
      </c>
      <c r="M264" s="10">
        <v>333</v>
      </c>
      <c r="N264" s="10">
        <v>333</v>
      </c>
      <c r="O264" s="97">
        <f t="shared" si="50"/>
        <v>333</v>
      </c>
      <c r="P264" s="97">
        <f t="shared" si="51"/>
        <v>273</v>
      </c>
      <c r="Q264" s="97">
        <f t="shared" si="52"/>
        <v>364</v>
      </c>
      <c r="R264" s="97">
        <f t="shared" si="53"/>
        <v>293</v>
      </c>
      <c r="S264" s="97">
        <f t="shared" si="54"/>
        <v>293</v>
      </c>
      <c r="T264" s="97">
        <f t="shared" si="55"/>
        <v>293</v>
      </c>
    </row>
    <row r="265" spans="1:20" ht="15.75" hidden="1">
      <c r="A265" s="166">
        <v>4</v>
      </c>
      <c r="E265" s="89">
        <v>0.3</v>
      </c>
      <c r="F265" s="261" t="e">
        <f t="shared" si="49"/>
        <v>#NAME?</v>
      </c>
      <c r="G265" s="10">
        <v>894</v>
      </c>
      <c r="H265" s="10">
        <v>295</v>
      </c>
      <c r="I265" s="10">
        <v>364</v>
      </c>
      <c r="J265" s="10">
        <v>293</v>
      </c>
      <c r="K265" s="10">
        <v>273</v>
      </c>
      <c r="L265" s="10">
        <v>0</v>
      </c>
      <c r="M265" s="10">
        <v>576</v>
      </c>
      <c r="N265" s="10">
        <v>531</v>
      </c>
      <c r="O265" s="97">
        <f t="shared" si="50"/>
        <v>531</v>
      </c>
      <c r="P265" s="97">
        <f t="shared" si="51"/>
        <v>295</v>
      </c>
      <c r="Q265" s="97">
        <f t="shared" si="52"/>
        <v>364</v>
      </c>
      <c r="R265" s="97">
        <f t="shared" si="53"/>
        <v>293</v>
      </c>
      <c r="S265" s="97">
        <f t="shared" si="54"/>
        <v>293</v>
      </c>
      <c r="T265" s="97">
        <f t="shared" si="55"/>
        <v>293</v>
      </c>
    </row>
    <row r="266" spans="1:20" ht="15.75" hidden="1">
      <c r="A266" s="166">
        <v>4</v>
      </c>
      <c r="E266" s="89">
        <v>0.4</v>
      </c>
      <c r="F266" s="261" t="e">
        <f t="shared" si="49"/>
        <v>#NAME?</v>
      </c>
      <c r="G266" s="10">
        <v>806</v>
      </c>
      <c r="H266" s="10">
        <v>318</v>
      </c>
      <c r="I266" s="10">
        <v>379</v>
      </c>
      <c r="J266" s="10">
        <v>303</v>
      </c>
      <c r="K266" s="10">
        <v>273</v>
      </c>
      <c r="L266" s="10">
        <v>212</v>
      </c>
      <c r="M266" s="10">
        <v>666</v>
      </c>
      <c r="N266" s="10">
        <v>606</v>
      </c>
      <c r="O266" s="97">
        <f t="shared" si="50"/>
        <v>606</v>
      </c>
      <c r="P266" s="97">
        <f t="shared" si="51"/>
        <v>318</v>
      </c>
      <c r="Q266" s="97">
        <f t="shared" si="52"/>
        <v>379</v>
      </c>
      <c r="R266" s="97">
        <f t="shared" si="53"/>
        <v>303</v>
      </c>
      <c r="S266" s="97">
        <f t="shared" si="54"/>
        <v>303</v>
      </c>
      <c r="T266" s="97">
        <f t="shared" si="55"/>
        <v>303</v>
      </c>
    </row>
    <row r="267" spans="1:20" ht="15.75" hidden="1">
      <c r="A267" s="166">
        <v>4</v>
      </c>
      <c r="E267" s="89">
        <v>0.5</v>
      </c>
      <c r="F267" s="261" t="e">
        <f t="shared" si="49"/>
        <v>#NAME?</v>
      </c>
      <c r="G267" s="10">
        <v>702</v>
      </c>
      <c r="H267" s="10">
        <v>349</v>
      </c>
      <c r="I267" s="10">
        <v>379</v>
      </c>
      <c r="J267" s="10">
        <v>303</v>
      </c>
      <c r="K267" s="10">
        <v>273</v>
      </c>
      <c r="L267" s="10">
        <v>212</v>
      </c>
      <c r="M267" s="10">
        <v>720</v>
      </c>
      <c r="N267" s="10">
        <v>659</v>
      </c>
      <c r="O267" s="97">
        <f t="shared" si="50"/>
        <v>659</v>
      </c>
      <c r="P267" s="97">
        <f t="shared" si="51"/>
        <v>349</v>
      </c>
      <c r="Q267" s="97">
        <f t="shared" si="52"/>
        <v>379</v>
      </c>
      <c r="R267" s="97">
        <f t="shared" si="53"/>
        <v>303</v>
      </c>
      <c r="S267" s="97">
        <f t="shared" si="54"/>
        <v>303</v>
      </c>
      <c r="T267" s="97">
        <f t="shared" si="55"/>
        <v>303</v>
      </c>
    </row>
    <row r="268" spans="1:20" ht="15.75" hidden="1">
      <c r="A268" s="166">
        <v>4</v>
      </c>
      <c r="E268" s="89">
        <v>0.6</v>
      </c>
      <c r="F268" s="261" t="e">
        <f t="shared" si="49"/>
        <v>#NAME?</v>
      </c>
      <c r="G268" s="10">
        <v>705</v>
      </c>
      <c r="H268" s="10">
        <v>394</v>
      </c>
      <c r="I268" s="10">
        <v>394</v>
      </c>
      <c r="J268" s="10">
        <v>307</v>
      </c>
      <c r="K268" s="10">
        <v>288</v>
      </c>
      <c r="L268" s="10">
        <v>243</v>
      </c>
      <c r="M268" s="10">
        <v>772</v>
      </c>
      <c r="N268" s="10">
        <v>682</v>
      </c>
      <c r="O268" s="97">
        <f t="shared" si="50"/>
        <v>682</v>
      </c>
      <c r="P268" s="97">
        <f t="shared" si="51"/>
        <v>394</v>
      </c>
      <c r="Q268" s="97">
        <f t="shared" si="52"/>
        <v>394</v>
      </c>
      <c r="R268" s="97">
        <f t="shared" si="53"/>
        <v>307</v>
      </c>
      <c r="S268" s="97">
        <f t="shared" si="54"/>
        <v>307</v>
      </c>
      <c r="T268" s="97">
        <f t="shared" si="55"/>
        <v>307</v>
      </c>
    </row>
    <row r="269" spans="1:20" ht="15.75" hidden="1">
      <c r="A269" s="166">
        <v>4</v>
      </c>
      <c r="E269" s="89">
        <v>0.7</v>
      </c>
      <c r="F269" s="261" t="e">
        <f t="shared" si="49"/>
        <v>#NAME?</v>
      </c>
      <c r="G269" s="10">
        <v>675</v>
      </c>
      <c r="H269" s="10">
        <v>432</v>
      </c>
      <c r="I269" s="10">
        <v>553</v>
      </c>
      <c r="J269" s="10">
        <v>349</v>
      </c>
      <c r="K269" s="10">
        <v>288</v>
      </c>
      <c r="L269" s="10">
        <v>243</v>
      </c>
      <c r="M269" s="10">
        <v>795</v>
      </c>
      <c r="N269" s="10">
        <v>705</v>
      </c>
      <c r="O269" s="97">
        <f t="shared" si="50"/>
        <v>705</v>
      </c>
      <c r="P269" s="97">
        <f t="shared" si="51"/>
        <v>432</v>
      </c>
      <c r="Q269" s="97">
        <f t="shared" si="52"/>
        <v>553</v>
      </c>
      <c r="R269" s="97">
        <f t="shared" si="53"/>
        <v>349</v>
      </c>
      <c r="S269" s="97">
        <f t="shared" si="54"/>
        <v>349</v>
      </c>
      <c r="T269" s="97">
        <f t="shared" si="55"/>
        <v>349</v>
      </c>
    </row>
    <row r="270" spans="1:20" ht="15.75" hidden="1">
      <c r="A270" s="166">
        <v>4</v>
      </c>
      <c r="E270" s="89">
        <v>0.8</v>
      </c>
      <c r="F270" s="261" t="e">
        <f t="shared" si="49"/>
        <v>#NAME?</v>
      </c>
      <c r="G270" s="10">
        <v>810</v>
      </c>
      <c r="H270" s="10">
        <v>522</v>
      </c>
      <c r="I270" s="10">
        <v>599</v>
      </c>
      <c r="J270" s="10">
        <v>515</v>
      </c>
      <c r="K270" s="10">
        <v>425</v>
      </c>
      <c r="L270" s="10">
        <v>273</v>
      </c>
      <c r="M270" s="10">
        <v>841</v>
      </c>
      <c r="N270" s="10">
        <v>720</v>
      </c>
      <c r="O270" s="97">
        <f t="shared" si="50"/>
        <v>720</v>
      </c>
      <c r="P270" s="97">
        <f t="shared" si="51"/>
        <v>522</v>
      </c>
      <c r="Q270" s="97">
        <f t="shared" si="52"/>
        <v>599</v>
      </c>
      <c r="R270" s="97">
        <f t="shared" si="53"/>
        <v>515</v>
      </c>
      <c r="S270" s="97">
        <f t="shared" si="54"/>
        <v>515</v>
      </c>
      <c r="T270" s="97">
        <f t="shared" si="55"/>
        <v>515</v>
      </c>
    </row>
    <row r="271" spans="1:20" ht="15.75" hidden="1">
      <c r="A271" s="166">
        <v>4</v>
      </c>
      <c r="E271" s="89">
        <v>1</v>
      </c>
      <c r="F271" s="261" t="e">
        <f t="shared" si="49"/>
        <v>#NAME?</v>
      </c>
      <c r="G271" s="10">
        <v>1008</v>
      </c>
      <c r="H271" s="10">
        <v>659</v>
      </c>
      <c r="I271" s="10">
        <v>621</v>
      </c>
      <c r="J271" s="10">
        <v>500</v>
      </c>
      <c r="K271" s="10">
        <v>470</v>
      </c>
      <c r="L271" s="10">
        <v>273</v>
      </c>
      <c r="M271" s="10">
        <v>894</v>
      </c>
      <c r="N271" s="10">
        <v>743</v>
      </c>
      <c r="O271" s="97">
        <f t="shared" si="50"/>
        <v>743</v>
      </c>
      <c r="P271" s="97">
        <f t="shared" si="51"/>
        <v>659</v>
      </c>
      <c r="Q271" s="97">
        <f t="shared" si="52"/>
        <v>621</v>
      </c>
      <c r="R271" s="97">
        <f t="shared" si="53"/>
        <v>500</v>
      </c>
      <c r="S271" s="97">
        <f t="shared" si="54"/>
        <v>500</v>
      </c>
      <c r="T271" s="97">
        <f t="shared" si="55"/>
        <v>500</v>
      </c>
    </row>
    <row r="272" spans="1:20" ht="15.75" hidden="1">
      <c r="A272" s="166">
        <v>4</v>
      </c>
      <c r="E272" s="89">
        <v>1.1</v>
      </c>
      <c r="F272" s="261" t="e">
        <f t="shared" si="49"/>
        <v>#NAME?</v>
      </c>
      <c r="G272" s="284">
        <v>1129</v>
      </c>
      <c r="H272" s="285">
        <v>750</v>
      </c>
      <c r="I272" s="10">
        <v>651</v>
      </c>
      <c r="J272" s="10">
        <v>500</v>
      </c>
      <c r="K272" s="10">
        <v>484</v>
      </c>
      <c r="L272" s="10">
        <v>288</v>
      </c>
      <c r="M272" s="10">
        <v>932</v>
      </c>
      <c r="N272" s="10">
        <v>765</v>
      </c>
      <c r="O272" s="97">
        <f t="shared" si="50"/>
        <v>765</v>
      </c>
      <c r="P272" s="97">
        <f t="shared" si="51"/>
        <v>750</v>
      </c>
      <c r="Q272" s="97">
        <f t="shared" si="52"/>
        <v>651</v>
      </c>
      <c r="R272" s="97">
        <f t="shared" si="53"/>
        <v>500</v>
      </c>
      <c r="S272" s="97">
        <f t="shared" si="54"/>
        <v>500</v>
      </c>
      <c r="T272" s="97">
        <f t="shared" si="55"/>
        <v>500</v>
      </c>
    </row>
    <row r="273" spans="1:20" ht="16.5" hidden="1" thickBot="1">
      <c r="A273" s="166">
        <v>4</v>
      </c>
      <c r="E273" s="90">
        <v>1.2</v>
      </c>
      <c r="F273" s="261" t="e">
        <f t="shared" si="49"/>
        <v>#NAME?</v>
      </c>
      <c r="G273" s="10">
        <v>1166</v>
      </c>
      <c r="H273" s="10">
        <v>772</v>
      </c>
      <c r="I273" s="10">
        <v>727</v>
      </c>
      <c r="J273" s="10">
        <v>508</v>
      </c>
      <c r="K273" s="10">
        <v>500</v>
      </c>
      <c r="L273" s="10">
        <v>288</v>
      </c>
      <c r="M273" s="10">
        <v>939</v>
      </c>
      <c r="N273" s="10">
        <v>772</v>
      </c>
      <c r="O273" s="97">
        <f t="shared" si="50"/>
        <v>772</v>
      </c>
      <c r="P273" s="97">
        <f t="shared" si="51"/>
        <v>772</v>
      </c>
      <c r="Q273" s="97">
        <f t="shared" si="52"/>
        <v>727</v>
      </c>
      <c r="R273" s="97">
        <f t="shared" si="53"/>
        <v>508</v>
      </c>
      <c r="S273" s="97">
        <f t="shared" si="54"/>
        <v>508</v>
      </c>
      <c r="T273" s="97">
        <f t="shared" si="55"/>
        <v>508</v>
      </c>
    </row>
    <row r="274" spans="1:20" s="161" customFormat="1" ht="15.75" hidden="1">
      <c r="A274" s="166">
        <v>4</v>
      </c>
      <c r="E274" s="162"/>
      <c r="F274" s="104"/>
      <c r="G274" s="104"/>
      <c r="H274" s="163"/>
      <c r="I274" s="164"/>
      <c r="J274" s="164"/>
      <c r="K274" s="104"/>
      <c r="L274" s="11"/>
      <c r="M274" s="95"/>
      <c r="N274" s="95"/>
      <c r="O274" s="95"/>
      <c r="P274" s="95"/>
      <c r="Q274" s="95"/>
      <c r="R274" s="95"/>
      <c r="S274" s="95"/>
      <c r="T274" s="95"/>
    </row>
    <row r="275" spans="1:20" s="161" customFormat="1" ht="15.75" hidden="1">
      <c r="A275" s="166">
        <v>4</v>
      </c>
      <c r="E275" s="162"/>
      <c r="F275" s="104" t="s">
        <v>382</v>
      </c>
      <c r="G275" s="104" t="e">
        <f>LOOKUP(F292,porantvar4,cod06cargosvar4mar11)</f>
        <v>#NAME?</v>
      </c>
      <c r="H275" s="163"/>
      <c r="I275" s="164"/>
      <c r="J275" s="164"/>
      <c r="K275" s="104"/>
      <c r="L275" s="11"/>
      <c r="M275" s="95"/>
      <c r="N275" s="95"/>
      <c r="O275" s="95"/>
      <c r="P275" s="95"/>
      <c r="Q275" s="95"/>
      <c r="R275" s="95"/>
      <c r="S275" s="95"/>
      <c r="T275" s="95"/>
    </row>
    <row r="276" spans="1:20" s="161" customFormat="1" ht="15.75" hidden="1">
      <c r="A276" s="166"/>
      <c r="E276" s="162"/>
      <c r="F276" s="104"/>
      <c r="G276" s="104"/>
      <c r="H276" s="163"/>
      <c r="I276" s="164"/>
      <c r="J276" s="164"/>
      <c r="K276" s="104"/>
      <c r="L276" s="11"/>
      <c r="M276" s="95"/>
      <c r="N276" s="95"/>
      <c r="O276" s="95"/>
      <c r="P276" s="95"/>
      <c r="Q276" s="95"/>
      <c r="R276" s="95"/>
      <c r="S276" s="95"/>
      <c r="T276" s="95"/>
    </row>
    <row r="277" spans="1:20" s="161" customFormat="1" ht="15.75" hidden="1">
      <c r="A277" s="166"/>
      <c r="E277" s="162"/>
      <c r="F277" s="104"/>
      <c r="G277" s="104"/>
      <c r="H277" s="163"/>
      <c r="I277" s="164"/>
      <c r="J277" s="164"/>
      <c r="K277" s="104"/>
      <c r="L277" s="11"/>
      <c r="M277" s="95"/>
      <c r="N277" s="95"/>
      <c r="O277" s="95"/>
      <c r="P277" s="95"/>
      <c r="Q277" s="95"/>
      <c r="R277" s="95"/>
      <c r="S277" s="95"/>
      <c r="T277" s="95"/>
    </row>
    <row r="278" s="166" customFormat="1" ht="12.75" hidden="1">
      <c r="A278" s="166">
        <v>4</v>
      </c>
    </row>
    <row r="279" ht="12.75" hidden="1">
      <c r="A279" s="166">
        <v>4</v>
      </c>
    </row>
    <row r="280" spans="1:15" ht="12.75">
      <c r="A280" s="200">
        <v>4</v>
      </c>
      <c r="B280" s="201"/>
      <c r="C280" s="201"/>
      <c r="D280" s="201"/>
      <c r="E280" s="201"/>
      <c r="F280" s="201"/>
      <c r="G280" s="201"/>
      <c r="H280" s="201"/>
      <c r="I280" s="201"/>
      <c r="J280" s="201"/>
      <c r="K280" s="201"/>
      <c r="L280" s="201"/>
      <c r="M280" s="201"/>
      <c r="N280" s="201"/>
      <c r="O280" s="201"/>
    </row>
    <row r="281" spans="1:17" ht="20.25">
      <c r="A281" s="200">
        <v>4</v>
      </c>
      <c r="B281" s="132"/>
      <c r="C281" s="133"/>
      <c r="D281" s="133"/>
      <c r="E281" s="53" t="s">
        <v>340</v>
      </c>
      <c r="F281" s="10"/>
      <c r="G281" s="10"/>
      <c r="H281" s="133"/>
      <c r="I281" s="133"/>
      <c r="J281" s="133"/>
      <c r="K281" s="133"/>
      <c r="L281" s="133"/>
      <c r="M281" s="133"/>
      <c r="N281" s="131"/>
      <c r="O281" s="208"/>
      <c r="P281" s="104"/>
      <c r="Q281" s="104"/>
    </row>
    <row r="282" spans="1:17" ht="12.75">
      <c r="A282" s="200">
        <v>4</v>
      </c>
      <c r="B282" s="132"/>
      <c r="C282" s="132"/>
      <c r="D282" s="132"/>
      <c r="E282" s="132"/>
      <c r="F282" s="132"/>
      <c r="G282" s="132"/>
      <c r="H282" s="203"/>
      <c r="I282" s="132"/>
      <c r="J282" s="132"/>
      <c r="K282" s="132"/>
      <c r="L282" s="132"/>
      <c r="M282" s="132"/>
      <c r="N282" s="131"/>
      <c r="O282" s="208"/>
      <c r="P282" s="104"/>
      <c r="Q282" s="104"/>
    </row>
    <row r="283" spans="1:17" ht="12.75">
      <c r="A283" s="200">
        <v>4</v>
      </c>
      <c r="B283" s="201"/>
      <c r="C283" s="201"/>
      <c r="D283" s="36" t="s">
        <v>30</v>
      </c>
      <c r="E283" s="36" t="s">
        <v>309</v>
      </c>
      <c r="F283" s="36" t="s">
        <v>310</v>
      </c>
      <c r="G283" s="36" t="s">
        <v>311</v>
      </c>
      <c r="H283" s="36" t="s">
        <v>312</v>
      </c>
      <c r="I283" s="73" t="s">
        <v>356</v>
      </c>
      <c r="J283" s="314" t="s">
        <v>383</v>
      </c>
      <c r="K283" s="132"/>
      <c r="L283" s="132"/>
      <c r="M283" s="132"/>
      <c r="N283" s="131"/>
      <c r="O283" s="208"/>
      <c r="P283" s="104"/>
      <c r="Q283" s="104"/>
    </row>
    <row r="284" spans="1:17" ht="16.5" thickBot="1">
      <c r="A284" s="200">
        <v>4</v>
      </c>
      <c r="B284" s="201"/>
      <c r="C284" s="201"/>
      <c r="D284" s="82">
        <v>727</v>
      </c>
      <c r="E284" s="54">
        <f>LOOKUP(D284,[0]!numerocargo,[0]!puntosbasicoscargo)</f>
        <v>1600</v>
      </c>
      <c r="F284" s="54" t="e">
        <f>LOOKUP(D284,[0]!numerocargo,[0]!tardifcargo)</f>
        <v>#NAME?</v>
      </c>
      <c r="G284" s="54">
        <f>LOOKUP(D284,[0]!numerocargo,[0]!proljorcargo)</f>
        <v>1921</v>
      </c>
      <c r="H284" s="54" t="e">
        <f>LOOKUP(D284,[0]!numerocargo,[0]!jorcomcargo)</f>
        <v>#NAME?</v>
      </c>
      <c r="I284" s="36">
        <f>LOOKUP(D284,Cargos!A1:A338,puntoscompbasico)</f>
        <v>76</v>
      </c>
      <c r="J284" s="313" t="e">
        <f>LOOKUP(D284,Cargos!A1:A338,puntosadicdir)</f>
        <v>#REF!</v>
      </c>
      <c r="K284" s="132"/>
      <c r="L284" s="132"/>
      <c r="M284" s="132"/>
      <c r="N284" s="131"/>
      <c r="O284" s="208"/>
      <c r="P284" s="104"/>
      <c r="Q284" s="104"/>
    </row>
    <row r="285" spans="1:17" ht="13.5" thickBot="1">
      <c r="A285" s="200">
        <v>4</v>
      </c>
      <c r="B285" s="201"/>
      <c r="C285" s="201"/>
      <c r="D285" s="55" t="s">
        <v>31</v>
      </c>
      <c r="E285" s="56" t="str">
        <f>LOOKUP(D284,[0]!numerocargo,[0]!nombrecargo)</f>
        <v> VICEDIRECTOR ESCUELA 2DA CATEGORIA</v>
      </c>
      <c r="F285" s="35"/>
      <c r="G285" s="35"/>
      <c r="H285" s="44"/>
      <c r="I285" s="132"/>
      <c r="J285" s="132"/>
      <c r="K285" s="132"/>
      <c r="L285" s="132"/>
      <c r="M285" s="132"/>
      <c r="N285" s="131"/>
      <c r="O285" s="208"/>
      <c r="P285" s="104"/>
      <c r="Q285" s="104"/>
    </row>
    <row r="286" spans="1:17" ht="13.5" thickBot="1">
      <c r="A286" s="200">
        <v>4</v>
      </c>
      <c r="B286" s="201"/>
      <c r="C286" s="201"/>
      <c r="D286" s="202"/>
      <c r="E286" s="203"/>
      <c r="F286" s="132"/>
      <c r="G286" s="132"/>
      <c r="H286" s="132"/>
      <c r="I286" s="91" t="s">
        <v>330</v>
      </c>
      <c r="J286" s="209"/>
      <c r="K286" s="209"/>
      <c r="L286" s="209"/>
      <c r="M286" s="132"/>
      <c r="N286" s="132"/>
      <c r="O286" s="132"/>
      <c r="P286" s="10"/>
      <c r="Q286" s="10"/>
    </row>
    <row r="287" spans="1:17" ht="19.5" thickBot="1" thickTop="1">
      <c r="A287" s="200">
        <v>4</v>
      </c>
      <c r="B287" s="201"/>
      <c r="C287" s="201"/>
      <c r="D287" s="105" t="s">
        <v>324</v>
      </c>
      <c r="E287" s="86"/>
      <c r="F287" s="86"/>
      <c r="G287" s="86"/>
      <c r="H287" s="106">
        <v>10</v>
      </c>
      <c r="I287" s="92">
        <f>H287/120</f>
        <v>0.08333333333333333</v>
      </c>
      <c r="J287" s="203"/>
      <c r="K287" s="203"/>
      <c r="L287" s="203"/>
      <c r="M287" s="132"/>
      <c r="N287" s="132"/>
      <c r="O287" s="132"/>
      <c r="P287" s="10"/>
      <c r="Q287" s="10"/>
    </row>
    <row r="288" spans="1:17" ht="17.25" thickBot="1" thickTop="1">
      <c r="A288" s="200">
        <v>4</v>
      </c>
      <c r="B288" s="202"/>
      <c r="C288" s="203"/>
      <c r="D288" s="132"/>
      <c r="E288" s="132"/>
      <c r="F288" s="246"/>
      <c r="G288" s="132"/>
      <c r="H288" s="325"/>
      <c r="I288" s="132"/>
      <c r="J288" s="132"/>
      <c r="K288" s="132"/>
      <c r="L288" s="132"/>
      <c r="M288" s="132"/>
      <c r="N288" s="132"/>
      <c r="O288" s="132"/>
      <c r="P288" s="10"/>
      <c r="Q288" s="10"/>
    </row>
    <row r="289" spans="1:17" ht="17.25" thickBot="1" thickTop="1">
      <c r="A289" s="200">
        <v>4</v>
      </c>
      <c r="B289" s="202"/>
      <c r="C289" s="201"/>
      <c r="D289" s="85" t="s">
        <v>332</v>
      </c>
      <c r="E289" s="93">
        <v>0</v>
      </c>
      <c r="F289" s="246"/>
      <c r="G289" s="132"/>
      <c r="H289" s="203"/>
      <c r="I289" s="132"/>
      <c r="J289" s="132"/>
      <c r="K289" s="132"/>
      <c r="L289" s="132"/>
      <c r="M289" s="132"/>
      <c r="N289" s="132"/>
      <c r="O289" s="132"/>
      <c r="P289" s="10"/>
      <c r="Q289" s="10"/>
    </row>
    <row r="290" spans="1:17" ht="14.25" thickBot="1" thickTop="1">
      <c r="A290" s="200">
        <v>4</v>
      </c>
      <c r="B290" s="202"/>
      <c r="C290" s="203"/>
      <c r="D290" s="132"/>
      <c r="E290" s="132"/>
      <c r="F290" s="132"/>
      <c r="G290" s="132"/>
      <c r="H290" s="203"/>
      <c r="I290" s="132"/>
      <c r="J290" s="132"/>
      <c r="K290" s="132"/>
      <c r="L290" s="132"/>
      <c r="M290" s="132"/>
      <c r="N290" s="132"/>
      <c r="O290" s="132"/>
      <c r="P290" s="10"/>
      <c r="Q290" s="10"/>
    </row>
    <row r="291" spans="1:17" ht="16.5" thickBot="1">
      <c r="A291" s="200">
        <v>4</v>
      </c>
      <c r="B291" s="132"/>
      <c r="C291" s="133"/>
      <c r="D291" s="57" t="s">
        <v>8</v>
      </c>
      <c r="E291" s="35"/>
      <c r="F291" s="58" t="e">
        <f>E284*indicesep2010</f>
        <v>#NAME?</v>
      </c>
      <c r="G291" s="10"/>
      <c r="H291" s="10"/>
      <c r="I291" s="133"/>
      <c r="J291" s="133"/>
      <c r="K291" s="133"/>
      <c r="L291" s="133"/>
      <c r="M291" s="134"/>
      <c r="N291" s="134"/>
      <c r="O291" s="133"/>
      <c r="P291" s="10"/>
      <c r="Q291" s="10"/>
    </row>
    <row r="292" spans="1:17" ht="16.5" thickBot="1">
      <c r="A292" s="200">
        <v>4</v>
      </c>
      <c r="B292" s="132"/>
      <c r="C292" s="133"/>
      <c r="D292" s="57" t="s">
        <v>9</v>
      </c>
      <c r="E292" s="35"/>
      <c r="F292" s="84">
        <v>1.2</v>
      </c>
      <c r="G292" s="10" t="s">
        <v>10</v>
      </c>
      <c r="H292" s="10"/>
      <c r="I292" s="133"/>
      <c r="J292" s="133"/>
      <c r="K292" s="133"/>
      <c r="L292" s="133"/>
      <c r="M292" s="133"/>
      <c r="N292" s="134"/>
      <c r="O292" s="133"/>
      <c r="P292" s="10"/>
      <c r="Q292" s="10"/>
    </row>
    <row r="293" spans="1:17" ht="15.75">
      <c r="A293" s="200">
        <v>4</v>
      </c>
      <c r="B293" s="132"/>
      <c r="C293" s="133"/>
      <c r="D293" s="132"/>
      <c r="E293" s="132"/>
      <c r="F293" s="135"/>
      <c r="G293" s="133"/>
      <c r="H293" s="133"/>
      <c r="I293" s="133"/>
      <c r="J293" s="133"/>
      <c r="K293" s="133"/>
      <c r="L293" s="133"/>
      <c r="M293" s="133"/>
      <c r="N293" s="136"/>
      <c r="O293" s="133"/>
      <c r="P293" s="10"/>
      <c r="Q293" s="10"/>
    </row>
    <row r="294" spans="1:17" ht="18.75" hidden="1" thickBot="1">
      <c r="A294" s="200">
        <v>4</v>
      </c>
      <c r="B294" s="132"/>
      <c r="C294" s="133"/>
      <c r="D294" s="60" t="s">
        <v>11</v>
      </c>
      <c r="E294" s="60"/>
      <c r="F294" s="61">
        <f>E284</f>
        <v>1600</v>
      </c>
      <c r="G294" s="10" t="s">
        <v>12</v>
      </c>
      <c r="H294" s="133"/>
      <c r="I294" s="59" t="e">
        <f>H284+G284</f>
        <v>#NAME?</v>
      </c>
      <c r="J294" s="134"/>
      <c r="K294" s="134"/>
      <c r="L294" s="134"/>
      <c r="M294" s="132"/>
      <c r="N294" s="133"/>
      <c r="O294" s="133"/>
      <c r="P294" s="10"/>
      <c r="Q294" s="10"/>
    </row>
    <row r="295" spans="1:17" ht="15.75" hidden="1">
      <c r="A295" s="200">
        <v>4</v>
      </c>
      <c r="B295" s="132"/>
      <c r="C295" s="133"/>
      <c r="D295" s="132"/>
      <c r="E295" s="132"/>
      <c r="F295" s="135"/>
      <c r="G295" s="133"/>
      <c r="H295" s="133"/>
      <c r="I295" s="132"/>
      <c r="J295" s="132"/>
      <c r="K295" s="132"/>
      <c r="L295" s="132"/>
      <c r="M295" s="247"/>
      <c r="N295" s="133"/>
      <c r="O295" s="133"/>
      <c r="P295" s="10"/>
      <c r="Q295" s="10"/>
    </row>
    <row r="296" spans="1:15" ht="15.75" hidden="1">
      <c r="A296" s="200">
        <v>4</v>
      </c>
      <c r="B296" s="132"/>
      <c r="C296" s="133"/>
      <c r="D296" s="10"/>
      <c r="E296" s="98" t="s">
        <v>373</v>
      </c>
      <c r="F296" s="10"/>
      <c r="G296" s="102"/>
      <c r="H296" s="10"/>
      <c r="I296" s="98" t="s">
        <v>374</v>
      </c>
      <c r="J296" s="10"/>
      <c r="K296" s="201"/>
      <c r="L296" s="11"/>
      <c r="M296" s="296"/>
      <c r="N296" s="11"/>
      <c r="O296" s="201"/>
    </row>
    <row r="297" spans="1:15" ht="12.75" hidden="1">
      <c r="A297" s="200">
        <v>4</v>
      </c>
      <c r="B297" s="132"/>
      <c r="C297" s="201"/>
      <c r="D297" s="16">
        <v>400</v>
      </c>
      <c r="E297" s="16" t="s">
        <v>13</v>
      </c>
      <c r="F297" s="62" t="e">
        <f>punbasjubvarios4*indicesep2010*porjubvarcar*frac4</f>
        <v>#NAME?</v>
      </c>
      <c r="G297" s="201"/>
      <c r="H297" s="16">
        <v>400</v>
      </c>
      <c r="I297" s="16" t="s">
        <v>13</v>
      </c>
      <c r="J297" s="62" t="e">
        <f>punbasjubvarios4*indicemar2011*porjubvarcar*frac4</f>
        <v>#NAME?</v>
      </c>
      <c r="K297" s="201"/>
      <c r="L297" s="11"/>
      <c r="M297" s="11"/>
      <c r="N297" s="297"/>
      <c r="O297" s="201"/>
    </row>
    <row r="298" spans="1:15" ht="12.75" hidden="1">
      <c r="A298" s="200">
        <v>4</v>
      </c>
      <c r="B298" s="132"/>
      <c r="C298" s="201"/>
      <c r="D298" s="16">
        <v>542</v>
      </c>
      <c r="E298" s="16" t="s">
        <v>360</v>
      </c>
      <c r="F298" s="160" t="e">
        <f>compbasicovarios4*indicesep2010*porjubvarcar*frac4</f>
        <v>#NAME?</v>
      </c>
      <c r="G298" s="201"/>
      <c r="H298" s="16">
        <v>542</v>
      </c>
      <c r="I298" s="16" t="s">
        <v>360</v>
      </c>
      <c r="J298" s="160" t="e">
        <f>compbasicovarios4*indicemar2011*porjubvarcar*frac4</f>
        <v>#NAME?</v>
      </c>
      <c r="K298" s="201"/>
      <c r="L298" s="11"/>
      <c r="M298" s="11"/>
      <c r="N298" s="297"/>
      <c r="O298" s="201"/>
    </row>
    <row r="299" spans="1:15" ht="12.75" hidden="1">
      <c r="A299" s="200"/>
      <c r="B299" s="132"/>
      <c r="C299" s="201"/>
      <c r="D299" s="286"/>
      <c r="E299" s="286"/>
      <c r="F299" s="315"/>
      <c r="G299" s="201"/>
      <c r="H299" s="287" t="s">
        <v>372</v>
      </c>
      <c r="I299" s="288" t="s">
        <v>371</v>
      </c>
      <c r="J299" s="312" t="e">
        <f>adicdirvarios4*indicemar2011*porjubvarcar*frac4</f>
        <v>#REF!</v>
      </c>
      <c r="K299" s="201"/>
      <c r="L299" s="11"/>
      <c r="M299" s="11"/>
      <c r="N299" s="297"/>
      <c r="O299" s="201"/>
    </row>
    <row r="300" spans="1:14" ht="12.75" hidden="1">
      <c r="A300" s="200">
        <v>4</v>
      </c>
      <c r="B300" s="132"/>
      <c r="C300" s="201"/>
      <c r="D300" s="16">
        <v>404</v>
      </c>
      <c r="E300" s="16" t="s">
        <v>314</v>
      </c>
      <c r="F300" s="62" t="e">
        <f>puntardifvar4*indicesep2010*porjubvarcar*frac4</f>
        <v>#NAME?</v>
      </c>
      <c r="G300" s="201"/>
      <c r="H300" s="16">
        <v>404</v>
      </c>
      <c r="I300" s="16" t="s">
        <v>314</v>
      </c>
      <c r="J300" s="62" t="e">
        <f>puntardifvar4*indicemar2011*porjubvarcar*frac4</f>
        <v>#NAME?</v>
      </c>
      <c r="L300" s="11"/>
      <c r="M300" s="11"/>
      <c r="N300" s="297"/>
    </row>
    <row r="301" spans="1:14" ht="12.75" hidden="1">
      <c r="A301" s="200">
        <v>4</v>
      </c>
      <c r="B301" s="132"/>
      <c r="C301" s="201"/>
      <c r="D301" s="16">
        <v>406</v>
      </c>
      <c r="E301" s="16" t="s">
        <v>14</v>
      </c>
      <c r="F301" s="62" t="e">
        <f>(F297+F298+F300+F303)*F292</f>
        <v>#NAME?</v>
      </c>
      <c r="G301" s="201"/>
      <c r="H301" s="16">
        <v>406</v>
      </c>
      <c r="I301" s="16" t="s">
        <v>14</v>
      </c>
      <c r="J301" s="62" t="e">
        <f>(J297+J298+J300+J303)*F292</f>
        <v>#NAME?</v>
      </c>
      <c r="L301" s="11"/>
      <c r="M301" s="11"/>
      <c r="N301" s="297"/>
    </row>
    <row r="302" spans="1:14" ht="12.75" hidden="1">
      <c r="A302" s="200">
        <v>4</v>
      </c>
      <c r="B302" s="132"/>
      <c r="C302" s="201"/>
      <c r="D302" s="16">
        <v>408</v>
      </c>
      <c r="E302" s="16" t="s">
        <v>331</v>
      </c>
      <c r="F302" s="62" t="e">
        <f>(F297+F298+F300+F303)*E289</f>
        <v>#NAME?</v>
      </c>
      <c r="G302" s="201"/>
      <c r="H302" s="16">
        <v>408</v>
      </c>
      <c r="I302" s="16" t="s">
        <v>331</v>
      </c>
      <c r="J302" s="62" t="e">
        <f>(J297+J298+J300+J303)*E289</f>
        <v>#NAME?</v>
      </c>
      <c r="L302" s="11"/>
      <c r="M302" s="11"/>
      <c r="N302" s="297"/>
    </row>
    <row r="303" spans="1:14" ht="12.75" hidden="1">
      <c r="A303" s="200">
        <v>4</v>
      </c>
      <c r="B303" s="132"/>
      <c r="C303" s="201"/>
      <c r="D303" s="16">
        <v>416</v>
      </c>
      <c r="E303" s="70" t="s">
        <v>315</v>
      </c>
      <c r="F303" s="62" t="e">
        <f>puntosproljorvarios4*proljorsep2010*porjubvarcar*frac4</f>
        <v>#NAME?</v>
      </c>
      <c r="G303" s="201"/>
      <c r="H303" s="16">
        <v>416</v>
      </c>
      <c r="I303" s="70" t="s">
        <v>315</v>
      </c>
      <c r="J303" s="62" t="e">
        <f>puntosproljorvarios4*proljormar2011*porjubvarcar*frac4</f>
        <v>#NAME?</v>
      </c>
      <c r="L303" s="11"/>
      <c r="M303" s="294"/>
      <c r="N303" s="297"/>
    </row>
    <row r="304" spans="1:14" ht="12.75" hidden="1">
      <c r="A304" s="200">
        <v>4</v>
      </c>
      <c r="B304" s="132"/>
      <c r="C304" s="201"/>
      <c r="D304" s="16">
        <v>432</v>
      </c>
      <c r="E304" s="16" t="s">
        <v>329</v>
      </c>
      <c r="F304" s="62" t="e">
        <f>cod06feb11varios4*porjubvarcar*frac4</f>
        <v>#NAME?</v>
      </c>
      <c r="G304" s="201"/>
      <c r="H304" s="16">
        <v>432</v>
      </c>
      <c r="I304" s="16" t="s">
        <v>329</v>
      </c>
      <c r="J304" s="62" t="e">
        <f>cod06mar11varios4*porjubvarcar*frac4</f>
        <v>#NAME?</v>
      </c>
      <c r="L304" s="11"/>
      <c r="M304" s="11"/>
      <c r="N304" s="297"/>
    </row>
    <row r="305" spans="1:14" ht="12.75" hidden="1">
      <c r="A305" s="200">
        <v>4</v>
      </c>
      <c r="B305" s="132"/>
      <c r="C305" s="201"/>
      <c r="D305" s="16">
        <v>434</v>
      </c>
      <c r="E305" s="16" t="s">
        <v>313</v>
      </c>
      <c r="F305" s="62" t="e">
        <f>(F297+F298+F300+F301+F303+F304+F302)*0.07*0.95</f>
        <v>#NAME?</v>
      </c>
      <c r="G305" s="201"/>
      <c r="H305" s="16">
        <v>434</v>
      </c>
      <c r="I305" s="16" t="s">
        <v>313</v>
      </c>
      <c r="J305" s="62" t="e">
        <f>(J297+J298+J300+J301+J303+J304+J302)*0.07*0.95</f>
        <v>#NAME?</v>
      </c>
      <c r="L305" s="11"/>
      <c r="M305" s="11"/>
      <c r="N305" s="297"/>
    </row>
    <row r="306" spans="1:14" ht="12.75" hidden="1">
      <c r="A306" s="200">
        <v>4</v>
      </c>
      <c r="B306" s="132"/>
      <c r="C306" s="201"/>
      <c r="D306" s="16"/>
      <c r="E306" s="64"/>
      <c r="F306" s="110"/>
      <c r="G306" s="201"/>
      <c r="H306" s="16"/>
      <c r="I306" s="64"/>
      <c r="J306" s="110"/>
      <c r="L306" s="11"/>
      <c r="M306" s="11"/>
      <c r="N306" s="297"/>
    </row>
    <row r="307" spans="1:14" ht="13.5" hidden="1" thickBot="1">
      <c r="A307" s="200">
        <v>4</v>
      </c>
      <c r="B307" s="132"/>
      <c r="C307" s="201"/>
      <c r="D307" s="16"/>
      <c r="E307" s="64" t="s">
        <v>327</v>
      </c>
      <c r="F307" s="83">
        <v>0</v>
      </c>
      <c r="G307" s="201"/>
      <c r="H307" s="16"/>
      <c r="I307" s="64" t="s">
        <v>327</v>
      </c>
      <c r="J307" s="83">
        <v>0</v>
      </c>
      <c r="L307" s="11"/>
      <c r="M307" s="11"/>
      <c r="N307" s="307"/>
    </row>
    <row r="308" spans="1:14" ht="16.5" hidden="1" thickBot="1">
      <c r="A308" s="200">
        <v>4</v>
      </c>
      <c r="B308" s="132"/>
      <c r="C308" s="201"/>
      <c r="D308" s="65"/>
      <c r="E308" s="66" t="s">
        <v>15</v>
      </c>
      <c r="F308" s="67" t="e">
        <f>SUM(F297:F307)</f>
        <v>#NAME?</v>
      </c>
      <c r="G308" s="201"/>
      <c r="H308" s="65"/>
      <c r="I308" s="66" t="s">
        <v>15</v>
      </c>
      <c r="J308" s="67" t="e">
        <f>SUM(J297:J307)</f>
        <v>#NAME?</v>
      </c>
      <c r="L308" s="11"/>
      <c r="M308" s="48"/>
      <c r="N308" s="305"/>
    </row>
    <row r="309" spans="1:14" ht="12.75" hidden="1">
      <c r="A309" s="200">
        <v>4</v>
      </c>
      <c r="B309" s="132"/>
      <c r="C309" s="201"/>
      <c r="D309" s="16">
        <v>703</v>
      </c>
      <c r="E309" s="68" t="s">
        <v>316</v>
      </c>
      <c r="F309" s="69" t="e">
        <f>(F308-F307)*0.0025</f>
        <v>#NAME?</v>
      </c>
      <c r="G309" s="201"/>
      <c r="H309" s="16">
        <v>703</v>
      </c>
      <c r="I309" s="68" t="s">
        <v>316</v>
      </c>
      <c r="J309" s="69" t="e">
        <f>(J308-J307)*0.0025</f>
        <v>#NAME?</v>
      </c>
      <c r="L309" s="11"/>
      <c r="M309" s="300"/>
      <c r="N309" s="301"/>
    </row>
    <row r="310" spans="1:14" ht="12.75" hidden="1">
      <c r="A310" s="200">
        <v>4</v>
      </c>
      <c r="B310" s="132"/>
      <c r="C310" s="201"/>
      <c r="D310" s="17">
        <v>707</v>
      </c>
      <c r="E310" s="70" t="s">
        <v>17</v>
      </c>
      <c r="F310" s="15" t="e">
        <f>(F308-F307)*0.03</f>
        <v>#NAME?</v>
      </c>
      <c r="G310" s="201"/>
      <c r="H310" s="17">
        <v>707</v>
      </c>
      <c r="I310" s="70" t="s">
        <v>17</v>
      </c>
      <c r="J310" s="15" t="e">
        <f>(J308-J307)*0.03</f>
        <v>#NAME?</v>
      </c>
      <c r="L310" s="11"/>
      <c r="M310" s="294"/>
      <c r="N310" s="301"/>
    </row>
    <row r="311" spans="1:14" ht="12.75" hidden="1">
      <c r="A311" s="200">
        <v>4</v>
      </c>
      <c r="B311" s="132"/>
      <c r="C311" s="201"/>
      <c r="D311" s="17">
        <v>709</v>
      </c>
      <c r="E311" s="70" t="s">
        <v>18</v>
      </c>
      <c r="F311" s="15" t="e">
        <f>(F308-F307)*0.0213</f>
        <v>#NAME?</v>
      </c>
      <c r="G311" s="201"/>
      <c r="H311" s="17">
        <v>709</v>
      </c>
      <c r="I311" s="70" t="s">
        <v>18</v>
      </c>
      <c r="J311" s="15" t="e">
        <f>(J308-J307)*0.0213</f>
        <v>#NAME?</v>
      </c>
      <c r="L311" s="11"/>
      <c r="M311" s="294"/>
      <c r="N311" s="301"/>
    </row>
    <row r="312" spans="1:14" ht="12.75" hidden="1">
      <c r="A312" s="200">
        <v>4</v>
      </c>
      <c r="B312" s="132"/>
      <c r="C312" s="201"/>
      <c r="D312" s="14">
        <v>710</v>
      </c>
      <c r="E312" s="70" t="s">
        <v>19</v>
      </c>
      <c r="F312" s="15" t="e">
        <f>(F308-F307)*0.00754</f>
        <v>#NAME?</v>
      </c>
      <c r="G312" s="201"/>
      <c r="H312" s="14">
        <v>710</v>
      </c>
      <c r="I312" s="70" t="s">
        <v>19</v>
      </c>
      <c r="J312" s="15" t="e">
        <f>(J308-J307)*0.00754</f>
        <v>#NAME?</v>
      </c>
      <c r="L312" s="294"/>
      <c r="M312" s="294"/>
      <c r="N312" s="301"/>
    </row>
    <row r="313" spans="1:14" ht="12.75" hidden="1">
      <c r="A313" s="200">
        <v>4</v>
      </c>
      <c r="B313" s="132"/>
      <c r="C313" s="201"/>
      <c r="D313" s="14">
        <v>713</v>
      </c>
      <c r="E313" s="70" t="s">
        <v>20</v>
      </c>
      <c r="F313" s="15" t="e">
        <f>(F308-F307)*0.007</f>
        <v>#NAME?</v>
      </c>
      <c r="G313" s="201"/>
      <c r="H313" s="14">
        <v>713</v>
      </c>
      <c r="I313" s="70" t="s">
        <v>20</v>
      </c>
      <c r="J313" s="15" t="e">
        <f>(J308-J307)*0.007</f>
        <v>#NAME?</v>
      </c>
      <c r="L313" s="294"/>
      <c r="M313" s="294"/>
      <c r="N313" s="301"/>
    </row>
    <row r="314" spans="1:14" ht="13.5" hidden="1" thickBot="1">
      <c r="A314" s="200">
        <v>4</v>
      </c>
      <c r="B314" s="132"/>
      <c r="C314" s="201"/>
      <c r="D314" s="14"/>
      <c r="E314" s="71" t="s">
        <v>21</v>
      </c>
      <c r="F314" s="39">
        <v>0</v>
      </c>
      <c r="G314" s="201"/>
      <c r="H314" s="14"/>
      <c r="I314" s="71" t="s">
        <v>21</v>
      </c>
      <c r="J314" s="39">
        <v>0</v>
      </c>
      <c r="L314" s="294"/>
      <c r="M314" s="294"/>
      <c r="N314" s="308"/>
    </row>
    <row r="315" spans="1:14" ht="16.5" hidden="1" thickBot="1">
      <c r="A315" s="200">
        <v>4</v>
      </c>
      <c r="B315" s="132"/>
      <c r="C315" s="201"/>
      <c r="D315" s="72"/>
      <c r="E315" s="66" t="s">
        <v>22</v>
      </c>
      <c r="F315" s="67" t="e">
        <f>SUM(F309:F314)</f>
        <v>#NAME?</v>
      </c>
      <c r="G315" s="201"/>
      <c r="H315" s="72"/>
      <c r="I315" s="66" t="s">
        <v>22</v>
      </c>
      <c r="J315" s="67" t="e">
        <f>SUM(J309:J314)</f>
        <v>#NAME?</v>
      </c>
      <c r="L315" s="11"/>
      <c r="M315" s="48"/>
      <c r="N315" s="305"/>
    </row>
    <row r="316" spans="1:14" ht="13.5" hidden="1" thickBot="1">
      <c r="A316" s="200">
        <v>4</v>
      </c>
      <c r="B316" s="132"/>
      <c r="C316" s="201"/>
      <c r="D316" s="73"/>
      <c r="E316" s="74"/>
      <c r="F316" s="75"/>
      <c r="G316" s="201"/>
      <c r="H316" s="73"/>
      <c r="I316" s="74"/>
      <c r="J316" s="75"/>
      <c r="L316" s="48"/>
      <c r="M316" s="11"/>
      <c r="N316" s="309"/>
    </row>
    <row r="317" spans="1:14" ht="16.5" hidden="1" thickBot="1">
      <c r="A317" s="200">
        <v>4</v>
      </c>
      <c r="B317" s="133"/>
      <c r="C317" s="201"/>
      <c r="D317" s="76"/>
      <c r="E317" s="77" t="s">
        <v>23</v>
      </c>
      <c r="F317" s="78" t="e">
        <f>F308-F315</f>
        <v>#NAME?</v>
      </c>
      <c r="G317" s="201"/>
      <c r="H317" s="76"/>
      <c r="I317" s="77" t="s">
        <v>23</v>
      </c>
      <c r="J317" s="78" t="e">
        <f>J308-J315</f>
        <v>#NAME?</v>
      </c>
      <c r="L317" s="170"/>
      <c r="M317" s="304"/>
      <c r="N317" s="310"/>
    </row>
    <row r="318" spans="1:7" s="166" customFormat="1" ht="12.75" hidden="1">
      <c r="A318" s="200">
        <v>4</v>
      </c>
      <c r="B318" s="132"/>
      <c r="C318" s="204"/>
      <c r="G318" s="200"/>
    </row>
    <row r="319" spans="1:15" ht="15.75" hidden="1">
      <c r="A319" s="200">
        <v>4</v>
      </c>
      <c r="B319" s="133"/>
      <c r="C319" s="133"/>
      <c r="D319" s="205"/>
      <c r="E319" s="206"/>
      <c r="F319" s="207"/>
      <c r="G319" s="133"/>
      <c r="H319" s="205"/>
      <c r="I319" s="206"/>
      <c r="J319" s="207"/>
      <c r="K319" s="201"/>
      <c r="L319" s="201"/>
      <c r="M319" s="201"/>
      <c r="N319" s="201"/>
      <c r="O319" s="201"/>
    </row>
    <row r="320" spans="1:17" ht="12.75">
      <c r="A320">
        <v>4</v>
      </c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3"/>
      <c r="N320" s="11"/>
      <c r="O320" s="80"/>
      <c r="P320" s="10"/>
      <c r="Q320" s="10"/>
    </row>
    <row r="321" spans="2:17" ht="33.75">
      <c r="B321" s="10"/>
      <c r="C321" s="10"/>
      <c r="E321" s="10"/>
      <c r="F321" s="10"/>
      <c r="G321" s="230" t="s">
        <v>358</v>
      </c>
      <c r="H321" s="10"/>
      <c r="I321" s="10"/>
      <c r="J321" s="10"/>
      <c r="K321" s="10"/>
      <c r="L321" s="10"/>
      <c r="M321" s="13"/>
      <c r="N321" s="11"/>
      <c r="O321" s="80"/>
      <c r="P321" s="10"/>
      <c r="Q321" s="10"/>
    </row>
    <row r="322" spans="2:17" ht="13.5" thickBot="1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3"/>
      <c r="N322" s="11"/>
      <c r="O322" s="80"/>
      <c r="P322" s="10"/>
      <c r="Q322" s="10"/>
    </row>
    <row r="323" spans="5:11" ht="21" thickBot="1">
      <c r="E323" s="137" t="s">
        <v>336</v>
      </c>
      <c r="F323" s="138"/>
      <c r="G323" s="139"/>
      <c r="H323" s="140">
        <f>H51+H129+H208+H287</f>
        <v>120</v>
      </c>
      <c r="I323" s="141" t="s">
        <v>367</v>
      </c>
      <c r="J323" s="144"/>
      <c r="K323" s="144"/>
    </row>
    <row r="324" spans="5:11" ht="16.5" customHeight="1">
      <c r="E324" s="45"/>
      <c r="F324" s="254"/>
      <c r="G324" s="255"/>
      <c r="H324" s="326"/>
      <c r="I324" s="256"/>
      <c r="J324" s="45"/>
      <c r="K324" s="45"/>
    </row>
    <row r="325" spans="4:14" ht="15.75">
      <c r="D325" s="10"/>
      <c r="E325" s="98" t="s">
        <v>373</v>
      </c>
      <c r="F325" s="10"/>
      <c r="G325" s="102"/>
      <c r="H325" s="10"/>
      <c r="I325" s="98" t="s">
        <v>374</v>
      </c>
      <c r="J325" s="10"/>
      <c r="K325" s="161"/>
      <c r="L325" s="11"/>
      <c r="M325" s="296"/>
      <c r="N325" s="11"/>
    </row>
    <row r="326" spans="2:14" ht="12.75">
      <c r="B326" s="2"/>
      <c r="C326" s="10"/>
      <c r="D326" s="16">
        <v>400</v>
      </c>
      <c r="E326" s="16" t="s">
        <v>13</v>
      </c>
      <c r="F326" s="62" t="e">
        <f>F61+F139+F218+F297</f>
        <v>#NAME?</v>
      </c>
      <c r="G326" s="214"/>
      <c r="H326" s="16">
        <v>400</v>
      </c>
      <c r="I326" s="16" t="s">
        <v>13</v>
      </c>
      <c r="J326" s="62" t="e">
        <f aca="true" t="shared" si="56" ref="J326:J334">J61+J139+J218+J297</f>
        <v>#NAME?</v>
      </c>
      <c r="L326" s="11"/>
      <c r="M326" s="11"/>
      <c r="N326" s="297"/>
    </row>
    <row r="327" spans="2:14" ht="12.75">
      <c r="B327" s="2"/>
      <c r="C327" s="10"/>
      <c r="D327" s="16">
        <v>542</v>
      </c>
      <c r="E327" s="16" t="s">
        <v>360</v>
      </c>
      <c r="F327" s="62" t="e">
        <f>F62+F140+F219+F298</f>
        <v>#NAME?</v>
      </c>
      <c r="G327" s="214"/>
      <c r="H327" s="16">
        <v>542</v>
      </c>
      <c r="I327" s="16" t="s">
        <v>360</v>
      </c>
      <c r="J327" s="62" t="e">
        <f t="shared" si="56"/>
        <v>#NAME?</v>
      </c>
      <c r="L327" s="11"/>
      <c r="M327" s="11"/>
      <c r="N327" s="297"/>
    </row>
    <row r="328" spans="2:14" ht="12.75">
      <c r="B328" s="2"/>
      <c r="C328" s="10"/>
      <c r="D328" s="286"/>
      <c r="E328" s="286"/>
      <c r="F328" s="316"/>
      <c r="G328" s="214"/>
      <c r="H328" s="328" t="s">
        <v>385</v>
      </c>
      <c r="I328" s="328" t="s">
        <v>386</v>
      </c>
      <c r="J328" s="329" t="e">
        <f t="shared" si="56"/>
        <v>#REF!</v>
      </c>
      <c r="L328" s="11"/>
      <c r="M328" s="11"/>
      <c r="N328" s="297"/>
    </row>
    <row r="329" spans="2:14" ht="12.75">
      <c r="B329" s="2"/>
      <c r="C329" s="10"/>
      <c r="D329" s="16">
        <v>404</v>
      </c>
      <c r="E329" s="16" t="s">
        <v>314</v>
      </c>
      <c r="F329" s="62" t="e">
        <f aca="true" t="shared" si="57" ref="F329:F334">F64+F142+F221+F300</f>
        <v>#NAME?</v>
      </c>
      <c r="G329" s="214"/>
      <c r="H329" s="16">
        <v>404</v>
      </c>
      <c r="I329" s="16" t="s">
        <v>314</v>
      </c>
      <c r="J329" s="62" t="e">
        <f t="shared" si="56"/>
        <v>#NAME?</v>
      </c>
      <c r="L329" s="11"/>
      <c r="M329" s="11"/>
      <c r="N329" s="297"/>
    </row>
    <row r="330" spans="2:14" ht="12.75">
      <c r="B330" s="2"/>
      <c r="C330" s="10"/>
      <c r="D330" s="16">
        <v>406</v>
      </c>
      <c r="E330" s="16" t="s">
        <v>14</v>
      </c>
      <c r="F330" s="62" t="e">
        <f t="shared" si="57"/>
        <v>#NAME?</v>
      </c>
      <c r="G330" s="214"/>
      <c r="H330" s="16">
        <v>406</v>
      </c>
      <c r="I330" s="16" t="s">
        <v>14</v>
      </c>
      <c r="J330" s="62" t="e">
        <f t="shared" si="56"/>
        <v>#NAME?</v>
      </c>
      <c r="L330" s="11"/>
      <c r="M330" s="11"/>
      <c r="N330" s="297"/>
    </row>
    <row r="331" spans="2:14" ht="12.75">
      <c r="B331" s="2"/>
      <c r="C331" s="10"/>
      <c r="D331" s="16">
        <v>408</v>
      </c>
      <c r="E331" s="16" t="s">
        <v>331</v>
      </c>
      <c r="F331" s="62" t="e">
        <f t="shared" si="57"/>
        <v>#NAME?</v>
      </c>
      <c r="G331" s="214"/>
      <c r="H331" s="16">
        <v>408</v>
      </c>
      <c r="I331" s="16" t="s">
        <v>331</v>
      </c>
      <c r="J331" s="62" t="e">
        <f t="shared" si="56"/>
        <v>#NAME?</v>
      </c>
      <c r="L331" s="11"/>
      <c r="M331" s="11"/>
      <c r="N331" s="297"/>
    </row>
    <row r="332" spans="2:14" ht="12.75">
      <c r="B332" s="2"/>
      <c r="C332" s="13"/>
      <c r="D332" s="16">
        <v>416</v>
      </c>
      <c r="E332" s="70" t="s">
        <v>315</v>
      </c>
      <c r="F332" s="62" t="e">
        <f t="shared" si="57"/>
        <v>#NAME?</v>
      </c>
      <c r="G332" s="214"/>
      <c r="H332" s="16">
        <v>416</v>
      </c>
      <c r="I332" s="70" t="s">
        <v>315</v>
      </c>
      <c r="J332" s="62" t="e">
        <f t="shared" si="56"/>
        <v>#NAME?</v>
      </c>
      <c r="L332" s="11"/>
      <c r="M332" s="294"/>
      <c r="N332" s="297"/>
    </row>
    <row r="333" spans="2:14" ht="12.75">
      <c r="B333" s="2"/>
      <c r="C333" s="13"/>
      <c r="D333" s="16">
        <v>432</v>
      </c>
      <c r="E333" s="16" t="s">
        <v>329</v>
      </c>
      <c r="F333" s="62" t="e">
        <f t="shared" si="57"/>
        <v>#NAME?</v>
      </c>
      <c r="G333" s="214"/>
      <c r="H333" s="16">
        <v>432</v>
      </c>
      <c r="I333" s="16" t="s">
        <v>329</v>
      </c>
      <c r="J333" s="62" t="e">
        <f t="shared" si="56"/>
        <v>#NAME?</v>
      </c>
      <c r="L333" s="11"/>
      <c r="M333" s="11"/>
      <c r="N333" s="297"/>
    </row>
    <row r="334" spans="2:14" ht="12.75">
      <c r="B334" s="2"/>
      <c r="C334" s="13"/>
      <c r="D334" s="16">
        <v>434</v>
      </c>
      <c r="E334" s="16" t="s">
        <v>313</v>
      </c>
      <c r="F334" s="62" t="e">
        <f t="shared" si="57"/>
        <v>#NAME?</v>
      </c>
      <c r="G334" s="214"/>
      <c r="H334" s="16">
        <v>434</v>
      </c>
      <c r="I334" s="16" t="s">
        <v>313</v>
      </c>
      <c r="J334" s="62" t="e">
        <f t="shared" si="56"/>
        <v>#NAME?</v>
      </c>
      <c r="L334" s="11"/>
      <c r="M334" s="11"/>
      <c r="N334" s="297"/>
    </row>
    <row r="335" spans="2:14" ht="13.5" thickBot="1">
      <c r="B335" s="2"/>
      <c r="C335" s="13"/>
      <c r="D335" s="16"/>
      <c r="E335" s="64" t="s">
        <v>327</v>
      </c>
      <c r="F335" s="229">
        <v>0</v>
      </c>
      <c r="G335" s="214"/>
      <c r="H335" s="16"/>
      <c r="I335" s="64" t="s">
        <v>327</v>
      </c>
      <c r="J335" s="229">
        <v>0</v>
      </c>
      <c r="L335" s="11"/>
      <c r="M335" s="11"/>
      <c r="N335" s="298"/>
    </row>
    <row r="336" spans="2:14" ht="13.5" thickBot="1">
      <c r="B336" s="2"/>
      <c r="C336" s="13"/>
      <c r="D336" s="65"/>
      <c r="E336" s="66" t="s">
        <v>15</v>
      </c>
      <c r="F336" s="172" t="e">
        <f>SUM(F326:F335)</f>
        <v>#NAME?</v>
      </c>
      <c r="G336" s="216"/>
      <c r="H336" s="65"/>
      <c r="I336" s="66" t="s">
        <v>15</v>
      </c>
      <c r="J336" s="172" t="e">
        <f>SUM(J326:J335)</f>
        <v>#NAME?</v>
      </c>
      <c r="L336" s="11"/>
      <c r="M336" s="48"/>
      <c r="N336" s="299"/>
    </row>
    <row r="337" spans="2:14" ht="12.75">
      <c r="B337" s="2"/>
      <c r="C337" s="13"/>
      <c r="D337" s="16">
        <v>703</v>
      </c>
      <c r="E337" s="68" t="s">
        <v>316</v>
      </c>
      <c r="F337" s="15" t="e">
        <f>F73+F151+F230+F309</f>
        <v>#NAME?</v>
      </c>
      <c r="G337" s="213"/>
      <c r="H337" s="16">
        <v>703</v>
      </c>
      <c r="I337" s="68" t="s">
        <v>316</v>
      </c>
      <c r="J337" s="15" t="e">
        <f>J73+J151+J230+J309</f>
        <v>#NAME?</v>
      </c>
      <c r="L337" s="11"/>
      <c r="M337" s="300"/>
      <c r="N337" s="301"/>
    </row>
    <row r="338" spans="2:14" ht="12.75">
      <c r="B338" s="2"/>
      <c r="C338" s="13"/>
      <c r="D338" s="17">
        <v>707</v>
      </c>
      <c r="E338" s="70" t="s">
        <v>17</v>
      </c>
      <c r="F338" s="15" t="e">
        <f>F74+F152+F231+F310</f>
        <v>#NAME?</v>
      </c>
      <c r="G338" s="213"/>
      <c r="H338" s="17">
        <v>707</v>
      </c>
      <c r="I338" s="70" t="s">
        <v>17</v>
      </c>
      <c r="J338" s="15" t="e">
        <f>J74+J152+J231+J310</f>
        <v>#NAME?</v>
      </c>
      <c r="L338" s="11"/>
      <c r="M338" s="294"/>
      <c r="N338" s="301"/>
    </row>
    <row r="339" spans="2:14" ht="12.75">
      <c r="B339" s="2"/>
      <c r="C339" s="13"/>
      <c r="D339" s="17">
        <v>709</v>
      </c>
      <c r="E339" s="70" t="s">
        <v>18</v>
      </c>
      <c r="F339" s="15" t="e">
        <f>F75+F153+F232+F311</f>
        <v>#NAME?</v>
      </c>
      <c r="G339" s="213"/>
      <c r="H339" s="17">
        <v>709</v>
      </c>
      <c r="I339" s="70" t="s">
        <v>18</v>
      </c>
      <c r="J339" s="15" t="e">
        <f>J75+J153+J232+J311</f>
        <v>#NAME?</v>
      </c>
      <c r="L339" s="11"/>
      <c r="M339" s="294"/>
      <c r="N339" s="301"/>
    </row>
    <row r="340" spans="2:14" ht="12.75">
      <c r="B340" s="2"/>
      <c r="C340" s="13"/>
      <c r="D340" s="14">
        <v>710</v>
      </c>
      <c r="E340" s="70" t="s">
        <v>19</v>
      </c>
      <c r="F340" s="15" t="e">
        <f>F76+F154+F233+F312</f>
        <v>#NAME?</v>
      </c>
      <c r="G340" s="213"/>
      <c r="H340" s="14">
        <v>710</v>
      </c>
      <c r="I340" s="70" t="s">
        <v>19</v>
      </c>
      <c r="J340" s="15" t="e">
        <f>J76+J154+J233+J312</f>
        <v>#NAME?</v>
      </c>
      <c r="L340" s="294"/>
      <c r="M340" s="294"/>
      <c r="N340" s="301"/>
    </row>
    <row r="341" spans="2:14" ht="12.75">
      <c r="B341" s="2"/>
      <c r="C341" s="10"/>
      <c r="D341" s="14">
        <v>713</v>
      </c>
      <c r="E341" s="70" t="s">
        <v>20</v>
      </c>
      <c r="F341" s="15" t="e">
        <f>F77+F155+F234+F313</f>
        <v>#NAME?</v>
      </c>
      <c r="G341" s="213"/>
      <c r="H341" s="14">
        <v>713</v>
      </c>
      <c r="I341" s="70" t="s">
        <v>20</v>
      </c>
      <c r="J341" s="15" t="e">
        <f>J77+J155+J234+J313</f>
        <v>#NAME?</v>
      </c>
      <c r="L341" s="294"/>
      <c r="M341" s="294"/>
      <c r="N341" s="301"/>
    </row>
    <row r="342" spans="2:14" ht="13.5" thickBot="1">
      <c r="B342" s="2"/>
      <c r="C342" s="111"/>
      <c r="D342" s="14"/>
      <c r="E342" s="71" t="s">
        <v>21</v>
      </c>
      <c r="F342" s="212">
        <v>0</v>
      </c>
      <c r="G342" s="213"/>
      <c r="H342" s="14"/>
      <c r="I342" s="71" t="s">
        <v>21</v>
      </c>
      <c r="J342" s="212">
        <v>0</v>
      </c>
      <c r="L342" s="294"/>
      <c r="M342" s="294"/>
      <c r="N342" s="302"/>
    </row>
    <row r="343" spans="2:14" ht="13.5" thickBot="1">
      <c r="B343" s="2"/>
      <c r="C343" s="111"/>
      <c r="D343" s="72"/>
      <c r="E343" s="66" t="s">
        <v>22</v>
      </c>
      <c r="F343" s="171" t="e">
        <f>SUM(F337:F342)</f>
        <v>#NAME?</v>
      </c>
      <c r="G343" s="213"/>
      <c r="H343" s="72"/>
      <c r="I343" s="66" t="s">
        <v>22</v>
      </c>
      <c r="J343" s="171" t="e">
        <f>SUM(J337:J342)</f>
        <v>#NAME?</v>
      </c>
      <c r="L343" s="11"/>
      <c r="M343" s="48"/>
      <c r="N343" s="303"/>
    </row>
    <row r="344" spans="2:14" ht="13.5" thickBot="1">
      <c r="B344" s="2"/>
      <c r="C344" s="111"/>
      <c r="D344" s="73"/>
      <c r="E344" s="74"/>
      <c r="F344" s="62"/>
      <c r="G344" s="213"/>
      <c r="H344" s="73"/>
      <c r="I344" s="74"/>
      <c r="J344" s="62"/>
      <c r="L344" s="48"/>
      <c r="M344" s="11"/>
      <c r="N344" s="297"/>
    </row>
    <row r="345" spans="2:14" ht="16.5" thickBot="1">
      <c r="B345" s="2"/>
      <c r="C345" s="112"/>
      <c r="D345" s="76"/>
      <c r="E345" s="77" t="s">
        <v>23</v>
      </c>
      <c r="F345" s="173" t="e">
        <f>F336-F343</f>
        <v>#NAME?</v>
      </c>
      <c r="G345" s="215"/>
      <c r="H345" s="76"/>
      <c r="I345" s="77" t="s">
        <v>23</v>
      </c>
      <c r="J345" s="173" t="e">
        <f>J336-J343</f>
        <v>#NAME?</v>
      </c>
      <c r="L345" s="170"/>
      <c r="M345" s="304"/>
      <c r="N345" s="305"/>
    </row>
    <row r="346" spans="2:14" ht="16.5" thickBot="1">
      <c r="B346" s="2"/>
      <c r="C346" s="112"/>
      <c r="D346" s="4"/>
      <c r="E346" s="143"/>
      <c r="F346" s="262"/>
      <c r="G346" s="215"/>
      <c r="H346" s="4"/>
      <c r="I346" s="143"/>
      <c r="J346" s="262"/>
      <c r="L346" s="170"/>
      <c r="M346" s="304"/>
      <c r="N346" s="305"/>
    </row>
    <row r="347" spans="2:14" ht="15.75">
      <c r="B347" s="2"/>
      <c r="C347" s="112"/>
      <c r="D347" s="4"/>
      <c r="E347" s="143"/>
      <c r="F347" s="262"/>
      <c r="G347" s="215"/>
      <c r="H347" s="4"/>
      <c r="I347" s="264" t="s">
        <v>362</v>
      </c>
      <c r="J347" s="265" t="e">
        <f>J345-F345</f>
        <v>#NAME?</v>
      </c>
      <c r="L347" s="170"/>
      <c r="M347" s="304"/>
      <c r="N347" s="305"/>
    </row>
    <row r="348" spans="2:14" ht="16.5" thickBot="1">
      <c r="B348" s="2"/>
      <c r="C348" s="112"/>
      <c r="D348" s="4"/>
      <c r="E348" s="143"/>
      <c r="F348" s="262"/>
      <c r="G348" s="215"/>
      <c r="H348" s="4"/>
      <c r="I348" s="266" t="s">
        <v>363</v>
      </c>
      <c r="J348" s="267" t="e">
        <f>J347/F345</f>
        <v>#NAME?</v>
      </c>
      <c r="L348" s="170"/>
      <c r="M348" s="304"/>
      <c r="N348" s="306"/>
    </row>
    <row r="349" spans="2:14" ht="15.75">
      <c r="B349" s="2"/>
      <c r="C349" s="112"/>
      <c r="D349" s="4"/>
      <c r="E349" s="143"/>
      <c r="F349" s="262"/>
      <c r="G349" s="215"/>
      <c r="H349" s="4"/>
      <c r="I349" s="143"/>
      <c r="J349" s="262"/>
      <c r="L349" s="170"/>
      <c r="M349" s="304"/>
      <c r="N349" s="306"/>
    </row>
    <row r="350" spans="2:14" ht="15.75">
      <c r="B350" s="2"/>
      <c r="C350" s="112"/>
      <c r="D350" s="4"/>
      <c r="E350" s="143"/>
      <c r="F350" s="262"/>
      <c r="G350" s="215"/>
      <c r="H350" s="327"/>
      <c r="I350" s="143"/>
      <c r="J350" s="263"/>
      <c r="L350" s="170"/>
      <c r="M350" s="304"/>
      <c r="N350" s="305"/>
    </row>
    <row r="351" spans="2:14" ht="15.75">
      <c r="B351" s="10"/>
      <c r="C351" s="10"/>
      <c r="L351" s="166"/>
      <c r="M351" s="304"/>
      <c r="N351" s="306"/>
    </row>
    <row r="352" spans="2:17" ht="15.75">
      <c r="B352" s="79"/>
      <c r="C352" s="234"/>
      <c r="D352" s="235"/>
      <c r="E352" s="236"/>
      <c r="F352" s="227"/>
      <c r="G352" s="234"/>
      <c r="H352" s="184"/>
      <c r="I352" s="185"/>
      <c r="J352" s="185"/>
      <c r="K352" s="185"/>
      <c r="L352" s="185"/>
      <c r="M352" s="10"/>
      <c r="N352" s="48"/>
      <c r="O352" s="11"/>
      <c r="P352" s="10"/>
      <c r="Q352" s="10"/>
    </row>
    <row r="353" spans="2:17" ht="15.75">
      <c r="B353" s="79"/>
      <c r="C353" s="181"/>
      <c r="D353" s="182"/>
      <c r="E353" s="183"/>
      <c r="F353" s="124"/>
      <c r="G353" s="181"/>
      <c r="H353" s="237"/>
      <c r="I353" s="238"/>
      <c r="J353" s="238"/>
      <c r="K353" s="238"/>
      <c r="L353" s="238"/>
      <c r="M353" s="10"/>
      <c r="N353" s="48"/>
      <c r="O353" s="11"/>
      <c r="P353" s="10"/>
      <c r="Q353" s="10"/>
    </row>
    <row r="354" ht="13.5" thickBot="1"/>
    <row r="355" ht="17.25" thickBot="1" thickTop="1">
      <c r="D355" s="240" t="s">
        <v>359</v>
      </c>
    </row>
    <row r="356" spans="4:6" ht="15.75" thickTop="1">
      <c r="D356" s="218" t="s">
        <v>6</v>
      </c>
      <c r="E356" s="217"/>
      <c r="F356" s="231"/>
    </row>
    <row r="357" spans="4:6" ht="15">
      <c r="D357" s="218" t="s">
        <v>7</v>
      </c>
      <c r="E357" s="219"/>
      <c r="F357" s="232"/>
    </row>
    <row r="358" spans="4:6" ht="15">
      <c r="D358" s="220" t="s">
        <v>335</v>
      </c>
      <c r="E358" s="219"/>
      <c r="F358" s="232"/>
    </row>
    <row r="359" spans="4:6" ht="15">
      <c r="D359" s="221" t="s">
        <v>326</v>
      </c>
      <c r="E359" s="219"/>
      <c r="F359" s="232"/>
    </row>
    <row r="360" spans="4:6" ht="15.75" thickBot="1">
      <c r="D360" s="239"/>
      <c r="E360" s="222"/>
      <c r="F360" s="233"/>
    </row>
    <row r="361" ht="13.5" thickTop="1"/>
  </sheetData>
  <sheetProtection selectLockedCells="1"/>
  <hyperlinks>
    <hyperlink ref="D359" r:id="rId1" display="www.agmeruruguay.com.ar"/>
    <hyperlink ref="D358" r:id="rId2" display="victorhutt@victorhutt.com.ar"/>
    <hyperlink ref="D1" location="primercargo" display="1º Cargo"/>
    <hyperlink ref="E1" location="segundocargo" display="2º Cargo"/>
    <hyperlink ref="F1" location="tercercargo" display="3º cargo"/>
    <hyperlink ref="G1" location="cuartocargo" display="4º cargo"/>
    <hyperlink ref="H1" location="recibofinal" display="Final"/>
  </hyperlinks>
  <printOptions/>
  <pageMargins left="0.75" right="0.75" top="1" bottom="1" header="0" footer="0"/>
  <pageSetup orientation="portrait" paperSize="9" r:id="rId6"/>
  <drawing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B4:F27"/>
  <sheetViews>
    <sheetView zoomScalePageLayoutView="0" workbookViewId="0" topLeftCell="A4">
      <selection activeCell="D28" sqref="D28"/>
    </sheetView>
  </sheetViews>
  <sheetFormatPr defaultColWidth="11.421875" defaultRowHeight="12.75"/>
  <cols>
    <col min="3" max="3" width="18.00390625" style="0" customWidth="1"/>
  </cols>
  <sheetData>
    <row r="4" spans="2:4" ht="12.75">
      <c r="B4">
        <v>400</v>
      </c>
      <c r="C4" s="400" t="s">
        <v>450</v>
      </c>
      <c r="D4">
        <v>1978.92</v>
      </c>
    </row>
    <row r="5" spans="2:4" ht="12.75">
      <c r="B5">
        <v>404</v>
      </c>
      <c r="C5" s="400" t="s">
        <v>314</v>
      </c>
      <c r="D5">
        <v>305.7</v>
      </c>
    </row>
    <row r="6" spans="2:4" ht="12.75">
      <c r="B6">
        <v>406</v>
      </c>
      <c r="C6" s="400" t="s">
        <v>451</v>
      </c>
      <c r="D6">
        <v>3246.15</v>
      </c>
    </row>
    <row r="7" spans="2:4" ht="12.75">
      <c r="B7">
        <v>432</v>
      </c>
      <c r="C7" s="400" t="s">
        <v>452</v>
      </c>
      <c r="D7">
        <v>1831.88</v>
      </c>
    </row>
    <row r="8" spans="2:4" ht="12.75">
      <c r="B8">
        <v>434</v>
      </c>
      <c r="C8" s="400" t="s">
        <v>453</v>
      </c>
      <c r="D8">
        <v>533.93</v>
      </c>
    </row>
    <row r="9" spans="2:4" ht="12.75">
      <c r="B9">
        <v>542</v>
      </c>
      <c r="C9" s="400" t="s">
        <v>454</v>
      </c>
      <c r="D9">
        <v>666.43</v>
      </c>
    </row>
    <row r="10" spans="2:4" ht="12.75">
      <c r="B10">
        <v>402</v>
      </c>
      <c r="C10" s="400" t="s">
        <v>455</v>
      </c>
      <c r="D10">
        <v>1169.12</v>
      </c>
    </row>
    <row r="11" spans="2:4" ht="12.75">
      <c r="B11">
        <v>406</v>
      </c>
      <c r="C11" s="400" t="s">
        <v>456</v>
      </c>
      <c r="D11">
        <v>1286.03</v>
      </c>
    </row>
    <row r="12" spans="2:4" ht="12.75">
      <c r="B12">
        <v>432</v>
      </c>
      <c r="C12" s="400" t="s">
        <v>452</v>
      </c>
      <c r="D12">
        <v>164.77</v>
      </c>
    </row>
    <row r="13" spans="2:5" ht="12.75">
      <c r="B13">
        <v>434</v>
      </c>
      <c r="C13" s="400" t="s">
        <v>453</v>
      </c>
      <c r="D13">
        <v>174.22</v>
      </c>
      <c r="E13">
        <f>SUM(D4:D13)</f>
        <v>11357.150000000001</v>
      </c>
    </row>
    <row r="14" spans="2:4" ht="12.75">
      <c r="B14">
        <v>599</v>
      </c>
      <c r="C14" s="400" t="s">
        <v>457</v>
      </c>
      <c r="D14">
        <v>0.04</v>
      </c>
    </row>
    <row r="15" spans="2:4" ht="12.75">
      <c r="B15">
        <v>552</v>
      </c>
      <c r="C15" s="400" t="s">
        <v>458</v>
      </c>
      <c r="D15">
        <v>260</v>
      </c>
    </row>
    <row r="16" spans="2:5" ht="12.75">
      <c r="B16">
        <v>554</v>
      </c>
      <c r="C16" s="400" t="s">
        <v>459</v>
      </c>
      <c r="D16">
        <v>700</v>
      </c>
      <c r="E16">
        <f>SUM(D4:D16)</f>
        <v>12317.190000000002</v>
      </c>
    </row>
    <row r="17" spans="2:6" ht="12.75">
      <c r="B17">
        <v>703</v>
      </c>
      <c r="C17" s="400" t="s">
        <v>460</v>
      </c>
      <c r="D17">
        <v>-28.39</v>
      </c>
      <c r="E17" s="213">
        <f>E13*0.0025</f>
        <v>28.392875000000004</v>
      </c>
      <c r="F17" t="s">
        <v>466</v>
      </c>
    </row>
    <row r="18" spans="2:6" ht="12.75">
      <c r="B18">
        <v>718</v>
      </c>
      <c r="C18" s="400" t="s">
        <v>461</v>
      </c>
      <c r="D18">
        <v>-79.5</v>
      </c>
      <c r="E18" s="213">
        <f>E13*0.007</f>
        <v>79.50005000000002</v>
      </c>
      <c r="F18" t="s">
        <v>467</v>
      </c>
    </row>
    <row r="19" spans="2:6" ht="12.75">
      <c r="B19">
        <v>723</v>
      </c>
      <c r="C19" s="400" t="s">
        <v>462</v>
      </c>
      <c r="D19">
        <v>-340.71</v>
      </c>
      <c r="E19" s="213">
        <f>E13*0.03</f>
        <v>340.71450000000004</v>
      </c>
      <c r="F19" t="s">
        <v>468</v>
      </c>
    </row>
    <row r="20" spans="2:6" ht="12.75">
      <c r="B20">
        <v>787</v>
      </c>
      <c r="C20" s="400" t="s">
        <v>463</v>
      </c>
      <c r="D20">
        <v>-113.57</v>
      </c>
      <c r="E20" s="213">
        <f>E13*0.01</f>
        <v>113.57150000000001</v>
      </c>
      <c r="F20" t="s">
        <v>469</v>
      </c>
    </row>
    <row r="21" spans="2:5" ht="12.75">
      <c r="B21">
        <v>960</v>
      </c>
      <c r="C21" s="400" t="s">
        <v>464</v>
      </c>
      <c r="D21">
        <v>-2436.02</v>
      </c>
      <c r="E21" s="213">
        <f>SUM(E17:E20)</f>
        <v>562.178925</v>
      </c>
    </row>
    <row r="22" spans="2:4" ht="12.75">
      <c r="B22">
        <v>982</v>
      </c>
      <c r="C22" s="400" t="s">
        <v>465</v>
      </c>
      <c r="D22">
        <v>-831</v>
      </c>
    </row>
    <row r="23" spans="4:5" ht="12.75">
      <c r="D23">
        <f>SUM(D4:D22)</f>
        <v>8488.000000000004</v>
      </c>
      <c r="E23" s="213">
        <f>E13-E21</f>
        <v>10794.971075000001</v>
      </c>
    </row>
    <row r="27" ht="12.75">
      <c r="D27">
        <f>13.24/83.09*0.01</f>
        <v>0.0015934528824166566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Mailen</dc:creator>
  <cp:keywords/>
  <dc:description/>
  <cp:lastModifiedBy>Victor</cp:lastModifiedBy>
  <dcterms:created xsi:type="dcterms:W3CDTF">2006-03-31T13:19:38Z</dcterms:created>
  <dcterms:modified xsi:type="dcterms:W3CDTF">2024-04-19T02:58:14Z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